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pivotTables/pivotTable1.xml" ContentType="application/vnd.openxmlformats-officedocument.spreadsheetml.pivotTable+xml"/>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hidePivotFieldList="1" autoCompressPictures="0" defaultThemeVersion="124226"/>
  <mc:AlternateContent xmlns:mc="http://schemas.openxmlformats.org/markup-compatibility/2006">
    <mc:Choice Requires="x15">
      <x15ac:absPath xmlns:x15ac="http://schemas.microsoft.com/office/spreadsheetml/2010/11/ac" url="F:\JOGAMES\2025\Jump Rope\"/>
    </mc:Choice>
  </mc:AlternateContent>
  <xr:revisionPtr revIDLastSave="0" documentId="8_{186EA2C5-CE6D-4D05-8A73-D1D4A8A1C6C2}" xr6:coauthVersionLast="47" xr6:coauthVersionMax="47" xr10:uidLastSave="{00000000-0000-0000-0000-000000000000}"/>
  <workbookProtection workbookPassword="CE88" lockStructure="1"/>
  <bookViews>
    <workbookView xWindow="-120" yWindow="-120" windowWidth="29040" windowHeight="15720" tabRatio="951" xr2:uid="{00000000-000D-0000-FFFF-FFFF00000000}"/>
  </bookViews>
  <sheets>
    <sheet name="Team Info" sheetId="5" r:id="rId1"/>
    <sheet name="Judges" sheetId="28" r:id="rId2"/>
    <sheet name="Competitor" sheetId="1" r:id="rId3"/>
    <sheet name="Group Team Show" sheetId="3" r:id="rId4"/>
    <sheet name="Male Individual Rope Singles" sheetId="4" r:id="rId5"/>
    <sheet name="Female Individual Rope Singles" sheetId="20" r:id="rId6"/>
    <sheet name="Individual Triple Unders" sheetId="27" r:id="rId7"/>
    <sheet name="Individual Rope Pairs" sheetId="19" r:id="rId8"/>
    <sheet name="3 Person Double Dutch" sheetId="24" r:id="rId9"/>
    <sheet name="4 Person Double Dutch" sheetId="17" r:id="rId10"/>
    <sheet name="4 Person Single Rope Event" sheetId="25" r:id="rId11"/>
    <sheet name="Lists" sheetId="10" state="hidden" r:id="rId12"/>
    <sheet name="analysis" sheetId="23" state="hidden" r:id="rId13"/>
    <sheet name="ConsolidatedEventList" sheetId="11" state="hidden" r:id="rId14"/>
    <sheet name="DV-IDENTITY-0" sheetId="22" state="veryHidden" r:id="rId15"/>
  </sheets>
  <definedNames>
    <definedName name="_xlnm._FilterDatabase" localSheetId="13" hidden="1">ConsolidatedEventList!$A$3:$H$411</definedName>
    <definedName name="AgeGroupFemale">Lists!$K$3:$L$21</definedName>
    <definedName name="AgeGroupMale">Lists!$H$3:$I$21</definedName>
    <definedName name="AgeInfo">Lists!$D$3:$F$20</definedName>
    <definedName name="Jumpers">Competitor!$A$3:$I$103</definedName>
    <definedName name="_xlnm.Print_Area" localSheetId="12">analysis!$A$3:$B$38</definedName>
    <definedName name="_xlnm.Print_Area" localSheetId="2">Competitor!$A$1:$I$103</definedName>
    <definedName name="_xlnm.Print_Area" localSheetId="0">'Team Info'!$A$1:$E$19</definedName>
    <definedName name="_xlnm.Print_Titles" localSheetId="2">Competitor!$3:$3</definedName>
    <definedName name="_xlnm.Print_Titles" localSheetId="5">'Female Individual Rope Singles'!$1:$1</definedName>
    <definedName name="_xlnm.Print_Titles" localSheetId="6">'Individual Triple Unders'!$1:$1</definedName>
    <definedName name="_xlnm.Print_Titles" localSheetId="4">'Male Individual Rope Singles'!$1:$1</definedName>
  </definedNam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 i="28" l="1"/>
  <c r="P1" i="28"/>
  <c r="O1" i="28"/>
  <c r="N4" i="1"/>
  <c r="G88" i="1"/>
  <c r="G19" i="25"/>
  <c r="G80" i="1"/>
  <c r="G29" i="17"/>
  <c r="O24" i="3"/>
  <c r="O23" i="3"/>
  <c r="O22" i="3"/>
  <c r="O21" i="3"/>
  <c r="O20" i="3"/>
  <c r="O14" i="3"/>
  <c r="O13" i="3"/>
  <c r="O12" i="3"/>
  <c r="O11" i="3"/>
  <c r="O10" i="3"/>
  <c r="G25" i="1"/>
  <c r="G6" i="1"/>
  <c r="O9" i="3"/>
  <c r="G7" i="1"/>
  <c r="O8" i="3"/>
  <c r="G5" i="1"/>
  <c r="O7" i="3"/>
  <c r="G4" i="1"/>
  <c r="G32" i="1"/>
  <c r="O6" i="3"/>
  <c r="G33" i="1"/>
  <c r="O5" i="3"/>
  <c r="G24" i="3"/>
  <c r="G23" i="3"/>
  <c r="G22" i="3"/>
  <c r="G21" i="3"/>
  <c r="G20" i="3"/>
  <c r="G14" i="3"/>
  <c r="G13" i="3"/>
  <c r="G12" i="3"/>
  <c r="G11" i="3"/>
  <c r="G10" i="3"/>
  <c r="G17" i="1"/>
  <c r="G8" i="3"/>
  <c r="G37" i="1"/>
  <c r="G7" i="3"/>
  <c r="G6" i="3"/>
  <c r="G5" i="3"/>
  <c r="G9" i="3"/>
  <c r="E281" i="11"/>
  <c r="D281" i="11"/>
  <c r="C281" i="11"/>
  <c r="B281" i="11"/>
  <c r="A281" i="11"/>
  <c r="E280" i="11"/>
  <c r="D280" i="11"/>
  <c r="C280" i="11"/>
  <c r="B280" i="11"/>
  <c r="A280" i="11"/>
  <c r="E279" i="11"/>
  <c r="D279" i="11"/>
  <c r="C279" i="11"/>
  <c r="B279" i="11"/>
  <c r="A279" i="11"/>
  <c r="E278" i="11"/>
  <c r="D278" i="11"/>
  <c r="C278" i="11"/>
  <c r="B278" i="11"/>
  <c r="A278" i="11"/>
  <c r="E277" i="11"/>
  <c r="D277" i="11"/>
  <c r="C277" i="11"/>
  <c r="B277" i="11"/>
  <c r="A277" i="11"/>
  <c r="E276" i="11"/>
  <c r="D276" i="11"/>
  <c r="C276" i="11"/>
  <c r="B276" i="11"/>
  <c r="A276" i="11"/>
  <c r="E275" i="11"/>
  <c r="D275" i="11"/>
  <c r="C275" i="11"/>
  <c r="B275" i="11"/>
  <c r="A275" i="11"/>
  <c r="E274" i="11"/>
  <c r="D274" i="11"/>
  <c r="C274" i="11"/>
  <c r="B274" i="11"/>
  <c r="A274" i="11"/>
  <c r="E273" i="11"/>
  <c r="D273" i="11"/>
  <c r="C273" i="11"/>
  <c r="B273" i="11"/>
  <c r="A273" i="11"/>
  <c r="E272" i="11"/>
  <c r="D272" i="11"/>
  <c r="C272" i="11"/>
  <c r="B272" i="11"/>
  <c r="A272" i="11"/>
  <c r="E271" i="11"/>
  <c r="D271" i="11"/>
  <c r="C271" i="11"/>
  <c r="B271" i="11"/>
  <c r="A271" i="11"/>
  <c r="E270" i="11"/>
  <c r="D270" i="11"/>
  <c r="C270" i="11"/>
  <c r="B270" i="11"/>
  <c r="A270" i="11"/>
  <c r="E269" i="11"/>
  <c r="D269" i="11"/>
  <c r="C269" i="11"/>
  <c r="B269" i="11"/>
  <c r="A269" i="11"/>
  <c r="E268" i="11"/>
  <c r="D268" i="11"/>
  <c r="C268" i="11"/>
  <c r="B268" i="11"/>
  <c r="A268" i="11"/>
  <c r="E267" i="11"/>
  <c r="D267" i="11"/>
  <c r="C267" i="11"/>
  <c r="B267" i="11"/>
  <c r="A267" i="11"/>
  <c r="E266" i="11"/>
  <c r="D266" i="11"/>
  <c r="C266" i="11"/>
  <c r="B266" i="11"/>
  <c r="A266" i="11"/>
  <c r="E265" i="11"/>
  <c r="D265" i="11"/>
  <c r="C265" i="11"/>
  <c r="B265" i="11"/>
  <c r="A265" i="11"/>
  <c r="E264" i="11"/>
  <c r="D264" i="11"/>
  <c r="C264" i="11"/>
  <c r="B264" i="11"/>
  <c r="A264" i="11"/>
  <c r="E263" i="11"/>
  <c r="D263" i="11"/>
  <c r="C263" i="11"/>
  <c r="B263" i="11"/>
  <c r="A263" i="11"/>
  <c r="E262" i="11"/>
  <c r="D262" i="11"/>
  <c r="C262" i="11"/>
  <c r="B262" i="11"/>
  <c r="A262" i="11"/>
  <c r="E261" i="11"/>
  <c r="D261" i="11"/>
  <c r="C261" i="11"/>
  <c r="B261" i="11"/>
  <c r="A261" i="11"/>
  <c r="E260" i="11"/>
  <c r="D260" i="11"/>
  <c r="C260" i="11"/>
  <c r="B260" i="11"/>
  <c r="A260" i="11"/>
  <c r="E259" i="11"/>
  <c r="D259" i="11"/>
  <c r="C259" i="11"/>
  <c r="B259" i="11"/>
  <c r="A259" i="11"/>
  <c r="E258" i="11"/>
  <c r="D258" i="11"/>
  <c r="C258" i="11"/>
  <c r="B258" i="11"/>
  <c r="A258" i="11"/>
  <c r="E257" i="11"/>
  <c r="D257" i="11"/>
  <c r="C257" i="11"/>
  <c r="B257" i="11"/>
  <c r="A257" i="11"/>
  <c r="E256" i="11"/>
  <c r="D256" i="11"/>
  <c r="C256" i="11"/>
  <c r="B256" i="11"/>
  <c r="A256" i="11"/>
  <c r="E255" i="11"/>
  <c r="D255" i="11"/>
  <c r="C255" i="11"/>
  <c r="B255" i="11"/>
  <c r="A255" i="11"/>
  <c r="E254" i="11"/>
  <c r="D254" i="11"/>
  <c r="C254" i="11"/>
  <c r="B254" i="11"/>
  <c r="A254" i="11"/>
  <c r="E253" i="11"/>
  <c r="D253" i="11"/>
  <c r="C253" i="11"/>
  <c r="B253" i="11"/>
  <c r="A253" i="11"/>
  <c r="E252" i="11"/>
  <c r="D252" i="11"/>
  <c r="C252" i="11"/>
  <c r="B252" i="11"/>
  <c r="A252" i="11"/>
  <c r="E251" i="11"/>
  <c r="D251" i="11"/>
  <c r="C251" i="11"/>
  <c r="B251" i="11"/>
  <c r="A251" i="11"/>
  <c r="E250" i="11"/>
  <c r="D250" i="11"/>
  <c r="C250" i="11"/>
  <c r="B250" i="11"/>
  <c r="A250" i="11"/>
  <c r="E249" i="11"/>
  <c r="D249" i="11"/>
  <c r="C249" i="11"/>
  <c r="B249" i="11"/>
  <c r="A249" i="11"/>
  <c r="E248" i="11"/>
  <c r="D248" i="11"/>
  <c r="C248" i="11"/>
  <c r="B248" i="11"/>
  <c r="A248" i="11"/>
  <c r="E247" i="11"/>
  <c r="D247" i="11"/>
  <c r="C247" i="11"/>
  <c r="B247" i="11"/>
  <c r="A247" i="11"/>
  <c r="E246" i="11"/>
  <c r="D246" i="11"/>
  <c r="C246" i="11"/>
  <c r="B246" i="11"/>
  <c r="A246" i="11"/>
  <c r="E245" i="11"/>
  <c r="D245" i="11"/>
  <c r="C245" i="11"/>
  <c r="B245" i="11"/>
  <c r="A245" i="11"/>
  <c r="E244" i="11"/>
  <c r="D244" i="11"/>
  <c r="C244" i="11"/>
  <c r="B244" i="11"/>
  <c r="A244" i="11"/>
  <c r="E243" i="11"/>
  <c r="D243" i="11"/>
  <c r="C243" i="11"/>
  <c r="B243" i="11"/>
  <c r="A243" i="11"/>
  <c r="E242" i="11"/>
  <c r="D242" i="11"/>
  <c r="C242" i="11"/>
  <c r="B242" i="11"/>
  <c r="E5" i="27"/>
  <c r="F5" i="27"/>
  <c r="A242" i="11"/>
  <c r="M24" i="27"/>
  <c r="L24" i="27"/>
  <c r="F24" i="27"/>
  <c r="E24" i="27"/>
  <c r="M23" i="27"/>
  <c r="L23" i="27"/>
  <c r="F23" i="27"/>
  <c r="E23" i="27"/>
  <c r="M22" i="27"/>
  <c r="L22" i="27"/>
  <c r="F22" i="27"/>
  <c r="E22" i="27"/>
  <c r="M21" i="27"/>
  <c r="L21" i="27"/>
  <c r="F21" i="27"/>
  <c r="E21" i="27"/>
  <c r="M20" i="27"/>
  <c r="L20" i="27"/>
  <c r="F20" i="27"/>
  <c r="E20" i="27"/>
  <c r="M19" i="27"/>
  <c r="L19" i="27"/>
  <c r="F19" i="27"/>
  <c r="E19" i="27"/>
  <c r="M18" i="27"/>
  <c r="L18" i="27"/>
  <c r="F18" i="27"/>
  <c r="E18" i="27"/>
  <c r="M17" i="27"/>
  <c r="L17" i="27"/>
  <c r="F17" i="27"/>
  <c r="E17" i="27"/>
  <c r="M16" i="27"/>
  <c r="L16" i="27"/>
  <c r="F16" i="27"/>
  <c r="E16" i="27"/>
  <c r="M15" i="27"/>
  <c r="L15" i="27"/>
  <c r="F15" i="27"/>
  <c r="E15" i="27"/>
  <c r="M14" i="27"/>
  <c r="L14" i="27"/>
  <c r="F14" i="27"/>
  <c r="E14" i="27"/>
  <c r="M13" i="27"/>
  <c r="L13" i="27"/>
  <c r="F13" i="27"/>
  <c r="E13" i="27"/>
  <c r="M12" i="27"/>
  <c r="L12" i="27"/>
  <c r="F12" i="27"/>
  <c r="E12" i="27"/>
  <c r="M11" i="27"/>
  <c r="L11" i="27"/>
  <c r="F11" i="27"/>
  <c r="E11" i="27"/>
  <c r="M10" i="27"/>
  <c r="L10" i="27"/>
  <c r="F10" i="27"/>
  <c r="E10" i="27"/>
  <c r="M9" i="27"/>
  <c r="L9" i="27"/>
  <c r="F9" i="27"/>
  <c r="E9" i="27"/>
  <c r="M8" i="27"/>
  <c r="L8" i="27"/>
  <c r="F8" i="27"/>
  <c r="E8" i="27"/>
  <c r="M7" i="27"/>
  <c r="L7" i="27"/>
  <c r="F7" i="27"/>
  <c r="E7" i="27"/>
  <c r="M6" i="27"/>
  <c r="L6" i="27"/>
  <c r="F6" i="27"/>
  <c r="E6" i="27"/>
  <c r="M5" i="27"/>
  <c r="L5" i="27"/>
  <c r="M1" i="27"/>
  <c r="E241" i="11"/>
  <c r="D241" i="11"/>
  <c r="C241" i="11"/>
  <c r="B241" i="11"/>
  <c r="A241" i="11"/>
  <c r="E240" i="11"/>
  <c r="D240" i="11"/>
  <c r="C240" i="11"/>
  <c r="B240" i="11"/>
  <c r="A240" i="11"/>
  <c r="E239" i="11"/>
  <c r="D239" i="11"/>
  <c r="C239" i="11"/>
  <c r="B239" i="11"/>
  <c r="A239" i="11"/>
  <c r="E238" i="11"/>
  <c r="D238" i="11"/>
  <c r="C238" i="11"/>
  <c r="B238" i="11"/>
  <c r="A238" i="11"/>
  <c r="E237" i="11"/>
  <c r="D237" i="11"/>
  <c r="C237" i="11"/>
  <c r="B237" i="11"/>
  <c r="A237" i="11"/>
  <c r="E236" i="11"/>
  <c r="D236" i="11"/>
  <c r="C236" i="11"/>
  <c r="B236" i="11"/>
  <c r="A236" i="11"/>
  <c r="E235" i="11"/>
  <c r="D235" i="11"/>
  <c r="C235" i="11"/>
  <c r="B235" i="11"/>
  <c r="A235" i="11"/>
  <c r="E234" i="11"/>
  <c r="D234" i="11"/>
  <c r="C234" i="11"/>
  <c r="B234" i="11"/>
  <c r="A234" i="11"/>
  <c r="E233" i="11"/>
  <c r="D233" i="11"/>
  <c r="C233" i="11"/>
  <c r="B233" i="11"/>
  <c r="A233" i="11"/>
  <c r="E232" i="11"/>
  <c r="D232" i="11"/>
  <c r="C232" i="11"/>
  <c r="B232" i="11"/>
  <c r="A232" i="11"/>
  <c r="E231" i="11"/>
  <c r="D231" i="11"/>
  <c r="C231" i="11"/>
  <c r="B231" i="11"/>
  <c r="A231" i="11"/>
  <c r="E230" i="11"/>
  <c r="D230" i="11"/>
  <c r="C230" i="11"/>
  <c r="B230" i="11"/>
  <c r="A230" i="11"/>
  <c r="E229" i="11"/>
  <c r="D229" i="11"/>
  <c r="C229" i="11"/>
  <c r="B229" i="11"/>
  <c r="A229" i="11"/>
  <c r="E228" i="11"/>
  <c r="D228" i="11"/>
  <c r="C228" i="11"/>
  <c r="B228" i="11"/>
  <c r="A228" i="11"/>
  <c r="E227" i="11"/>
  <c r="D227" i="11"/>
  <c r="C227" i="11"/>
  <c r="B227" i="11"/>
  <c r="A227" i="11"/>
  <c r="E226" i="11"/>
  <c r="D226" i="11"/>
  <c r="C226" i="11"/>
  <c r="B226" i="11"/>
  <c r="A226" i="11"/>
  <c r="E225" i="11"/>
  <c r="D225" i="11"/>
  <c r="C225" i="11"/>
  <c r="B225" i="11"/>
  <c r="A225" i="11"/>
  <c r="E224" i="11"/>
  <c r="D224" i="11"/>
  <c r="C224" i="11"/>
  <c r="B224" i="11"/>
  <c r="A224" i="11"/>
  <c r="E223" i="11"/>
  <c r="D223" i="11"/>
  <c r="C223" i="11"/>
  <c r="B223" i="11"/>
  <c r="A223" i="11"/>
  <c r="E222" i="11"/>
  <c r="D222" i="11"/>
  <c r="C222" i="11"/>
  <c r="B222" i="11"/>
  <c r="A222" i="11"/>
  <c r="E151" i="11"/>
  <c r="D151" i="11"/>
  <c r="C151" i="11"/>
  <c r="B151" i="11"/>
  <c r="A151" i="11"/>
  <c r="E150" i="11"/>
  <c r="D150" i="11"/>
  <c r="C150" i="11"/>
  <c r="B150" i="11"/>
  <c r="A150" i="11"/>
  <c r="E149" i="11"/>
  <c r="D149" i="11"/>
  <c r="C149" i="11"/>
  <c r="B149" i="11"/>
  <c r="A149" i="11"/>
  <c r="E148" i="11"/>
  <c r="D148" i="11"/>
  <c r="C148" i="11"/>
  <c r="B148" i="11"/>
  <c r="A148" i="11"/>
  <c r="E147" i="11"/>
  <c r="D147" i="11"/>
  <c r="C147" i="11"/>
  <c r="B147" i="11"/>
  <c r="A147" i="11"/>
  <c r="E146" i="11"/>
  <c r="D146" i="11"/>
  <c r="C146" i="11"/>
  <c r="B146" i="11"/>
  <c r="A146" i="11"/>
  <c r="E145" i="11"/>
  <c r="D145" i="11"/>
  <c r="C145" i="11"/>
  <c r="B145" i="11"/>
  <c r="A145" i="11"/>
  <c r="E144" i="11"/>
  <c r="D144" i="11"/>
  <c r="C144" i="11"/>
  <c r="B144" i="11"/>
  <c r="A144" i="11"/>
  <c r="E143" i="11"/>
  <c r="D143" i="11"/>
  <c r="C143" i="11"/>
  <c r="B143" i="11"/>
  <c r="A143" i="11"/>
  <c r="E142" i="11"/>
  <c r="D142" i="11"/>
  <c r="C142" i="11"/>
  <c r="B142" i="11"/>
  <c r="A142" i="11"/>
  <c r="E141" i="11"/>
  <c r="D141" i="11"/>
  <c r="C141" i="11"/>
  <c r="B141" i="11"/>
  <c r="A141" i="11"/>
  <c r="E140" i="11"/>
  <c r="D140" i="11"/>
  <c r="C140" i="11"/>
  <c r="B140" i="11"/>
  <c r="A140" i="11"/>
  <c r="E139" i="11"/>
  <c r="D139" i="11"/>
  <c r="C139" i="11"/>
  <c r="B139" i="11"/>
  <c r="A139" i="11"/>
  <c r="E138" i="11"/>
  <c r="D138" i="11"/>
  <c r="C138" i="11"/>
  <c r="B138" i="11"/>
  <c r="A138" i="11"/>
  <c r="E137" i="11"/>
  <c r="D137" i="11"/>
  <c r="C137" i="11"/>
  <c r="B137" i="11"/>
  <c r="A137" i="11"/>
  <c r="E136" i="11"/>
  <c r="D136" i="11"/>
  <c r="C136" i="11"/>
  <c r="B136" i="11"/>
  <c r="A136" i="11"/>
  <c r="E135" i="11"/>
  <c r="D135" i="11"/>
  <c r="C135" i="11"/>
  <c r="B135" i="11"/>
  <c r="A135" i="11"/>
  <c r="E134" i="11"/>
  <c r="D134" i="11"/>
  <c r="C134" i="11"/>
  <c r="B134" i="11"/>
  <c r="A134" i="11"/>
  <c r="E133" i="11"/>
  <c r="D133" i="11"/>
  <c r="C133" i="11"/>
  <c r="B133" i="11"/>
  <c r="A133" i="11"/>
  <c r="E132" i="11"/>
  <c r="D132" i="11"/>
  <c r="C132" i="11"/>
  <c r="B132" i="11"/>
  <c r="A132" i="11"/>
  <c r="E61" i="11"/>
  <c r="D61" i="11"/>
  <c r="C61" i="11"/>
  <c r="B61" i="11"/>
  <c r="E60" i="11"/>
  <c r="D60" i="11"/>
  <c r="C60" i="11"/>
  <c r="B60" i="11"/>
  <c r="E59" i="11"/>
  <c r="D59" i="11"/>
  <c r="C59" i="11"/>
  <c r="B59" i="11"/>
  <c r="E58" i="11"/>
  <c r="D58" i="11"/>
  <c r="C58" i="11"/>
  <c r="B58" i="11"/>
  <c r="E57" i="11"/>
  <c r="D57" i="11"/>
  <c r="C57" i="11"/>
  <c r="B57" i="11"/>
  <c r="E56" i="11"/>
  <c r="D56" i="11"/>
  <c r="C56" i="11"/>
  <c r="B56" i="11"/>
  <c r="E55" i="11"/>
  <c r="D55" i="11"/>
  <c r="C55" i="11"/>
  <c r="B55" i="11"/>
  <c r="E54" i="11"/>
  <c r="D54" i="11"/>
  <c r="C54" i="11"/>
  <c r="B54" i="11"/>
  <c r="B46" i="11"/>
  <c r="A61" i="11"/>
  <c r="A60" i="11"/>
  <c r="A59" i="11"/>
  <c r="A58" i="11"/>
  <c r="A57" i="11"/>
  <c r="A56" i="11"/>
  <c r="A55" i="11"/>
  <c r="A54" i="11"/>
  <c r="M102" i="20"/>
  <c r="L102" i="20"/>
  <c r="F102" i="20"/>
  <c r="E102" i="20"/>
  <c r="M101" i="20"/>
  <c r="L101" i="20"/>
  <c r="F101" i="20"/>
  <c r="E101" i="20"/>
  <c r="M100" i="20"/>
  <c r="L100" i="20"/>
  <c r="F100" i="20"/>
  <c r="E100" i="20"/>
  <c r="M99" i="20"/>
  <c r="L99" i="20"/>
  <c r="F99" i="20"/>
  <c r="E99" i="20"/>
  <c r="M98" i="20"/>
  <c r="L98" i="20"/>
  <c r="F98" i="20"/>
  <c r="E98" i="20"/>
  <c r="M97" i="20"/>
  <c r="L97" i="20"/>
  <c r="F97" i="20"/>
  <c r="E97" i="20"/>
  <c r="M96" i="20"/>
  <c r="L96" i="20"/>
  <c r="F96" i="20"/>
  <c r="E96" i="20"/>
  <c r="M95" i="20"/>
  <c r="L95" i="20"/>
  <c r="F95" i="20"/>
  <c r="E95" i="20"/>
  <c r="M94" i="20"/>
  <c r="L94" i="20"/>
  <c r="F94" i="20"/>
  <c r="E94" i="20"/>
  <c r="M93" i="20"/>
  <c r="L93" i="20"/>
  <c r="F93" i="20"/>
  <c r="E93" i="20"/>
  <c r="M92" i="20"/>
  <c r="L92" i="20"/>
  <c r="F92" i="20"/>
  <c r="E92" i="20"/>
  <c r="M91" i="20"/>
  <c r="L91" i="20"/>
  <c r="F91" i="20"/>
  <c r="E91" i="20"/>
  <c r="M90" i="20"/>
  <c r="L90" i="20"/>
  <c r="F90" i="20"/>
  <c r="E90" i="20"/>
  <c r="M89" i="20"/>
  <c r="L89" i="20"/>
  <c r="F89" i="20"/>
  <c r="E89" i="20"/>
  <c r="M88" i="20"/>
  <c r="L88" i="20"/>
  <c r="F88" i="20"/>
  <c r="E88" i="20"/>
  <c r="M87" i="20"/>
  <c r="L87" i="20"/>
  <c r="F87" i="20"/>
  <c r="E87" i="20"/>
  <c r="M86" i="20"/>
  <c r="L86" i="20"/>
  <c r="F86" i="20"/>
  <c r="E86" i="20"/>
  <c r="M85" i="20"/>
  <c r="L85" i="20"/>
  <c r="F85" i="20"/>
  <c r="E85" i="20"/>
  <c r="M84" i="20"/>
  <c r="L84" i="20"/>
  <c r="F84" i="20"/>
  <c r="E84" i="20"/>
  <c r="M83" i="20"/>
  <c r="L83" i="20"/>
  <c r="F83" i="20"/>
  <c r="E83" i="20"/>
  <c r="F42" i="4"/>
  <c r="E42" i="4"/>
  <c r="F41" i="4"/>
  <c r="E41" i="4"/>
  <c r="F40" i="4"/>
  <c r="E40" i="4"/>
  <c r="F39" i="4"/>
  <c r="E39" i="4"/>
  <c r="F38" i="4"/>
  <c r="E38" i="4"/>
  <c r="F37" i="4"/>
  <c r="E37" i="4"/>
  <c r="F36" i="4"/>
  <c r="E36" i="4"/>
  <c r="F35" i="4"/>
  <c r="E35" i="4"/>
  <c r="H411" i="11"/>
  <c r="G411" i="11"/>
  <c r="F411" i="11"/>
  <c r="E411" i="11"/>
  <c r="D411" i="11"/>
  <c r="C411" i="11"/>
  <c r="B411" i="11"/>
  <c r="H410" i="11"/>
  <c r="G410" i="11"/>
  <c r="F410" i="11"/>
  <c r="E410" i="11"/>
  <c r="D410" i="11"/>
  <c r="C410" i="11"/>
  <c r="B410" i="11"/>
  <c r="H409" i="11"/>
  <c r="G409" i="11"/>
  <c r="F409" i="11"/>
  <c r="E409" i="11"/>
  <c r="D409" i="11"/>
  <c r="C409" i="11"/>
  <c r="B409" i="11"/>
  <c r="H408" i="11"/>
  <c r="G408" i="11"/>
  <c r="F408" i="11"/>
  <c r="E408" i="11"/>
  <c r="D408" i="11"/>
  <c r="C408" i="11"/>
  <c r="B408" i="11"/>
  <c r="H407" i="11"/>
  <c r="G407" i="11"/>
  <c r="F407" i="11"/>
  <c r="E407" i="11"/>
  <c r="D407" i="11"/>
  <c r="C407" i="11"/>
  <c r="B407" i="11"/>
  <c r="H406" i="11"/>
  <c r="G406" i="11"/>
  <c r="F406" i="11"/>
  <c r="E406" i="11"/>
  <c r="D406" i="11"/>
  <c r="C406" i="11"/>
  <c r="B406" i="11"/>
  <c r="H405" i="11"/>
  <c r="G405" i="11"/>
  <c r="F405" i="11"/>
  <c r="E405" i="11"/>
  <c r="D405" i="11"/>
  <c r="C405" i="11"/>
  <c r="B405" i="11"/>
  <c r="H404" i="11"/>
  <c r="G404" i="11"/>
  <c r="F404" i="11"/>
  <c r="E404" i="11"/>
  <c r="D404" i="11"/>
  <c r="C404" i="11"/>
  <c r="B404" i="11"/>
  <c r="H403" i="11"/>
  <c r="G403" i="11"/>
  <c r="F403" i="11"/>
  <c r="E403" i="11"/>
  <c r="D403" i="11"/>
  <c r="C403" i="11"/>
  <c r="B403" i="11"/>
  <c r="H402" i="11"/>
  <c r="G402" i="11"/>
  <c r="F402" i="11"/>
  <c r="E402" i="11"/>
  <c r="D402" i="11"/>
  <c r="C402" i="11"/>
  <c r="B402" i="11"/>
  <c r="H401" i="11"/>
  <c r="G401" i="11"/>
  <c r="F401" i="11"/>
  <c r="E401" i="11"/>
  <c r="D401" i="11"/>
  <c r="C401" i="11"/>
  <c r="B401" i="11"/>
  <c r="H400" i="11"/>
  <c r="G400" i="11"/>
  <c r="F400" i="11"/>
  <c r="E400" i="11"/>
  <c r="D400" i="11"/>
  <c r="C400" i="11"/>
  <c r="B400" i="11"/>
  <c r="H399" i="11"/>
  <c r="G399" i="11"/>
  <c r="F399" i="11"/>
  <c r="E399" i="11"/>
  <c r="D399" i="11"/>
  <c r="C399" i="11"/>
  <c r="B399" i="11"/>
  <c r="H398" i="11"/>
  <c r="G398" i="11"/>
  <c r="F398" i="11"/>
  <c r="E398" i="11"/>
  <c r="D398" i="11"/>
  <c r="C398" i="11"/>
  <c r="B398" i="11"/>
  <c r="H397" i="11"/>
  <c r="G397" i="11"/>
  <c r="F397" i="11"/>
  <c r="E397" i="11"/>
  <c r="D397" i="11"/>
  <c r="C397" i="11"/>
  <c r="B397" i="11"/>
  <c r="H396" i="11"/>
  <c r="G396" i="11"/>
  <c r="F396" i="11"/>
  <c r="E396" i="11"/>
  <c r="D396" i="11"/>
  <c r="C396" i="11"/>
  <c r="B396" i="11"/>
  <c r="H395" i="11"/>
  <c r="G395" i="11"/>
  <c r="F395" i="11"/>
  <c r="E395" i="11"/>
  <c r="D395" i="11"/>
  <c r="C395" i="11"/>
  <c r="B395" i="11"/>
  <c r="A395" i="11"/>
  <c r="H394" i="11"/>
  <c r="G394" i="11"/>
  <c r="F394" i="11"/>
  <c r="E394" i="11"/>
  <c r="D394" i="11"/>
  <c r="C394" i="11"/>
  <c r="B394" i="11"/>
  <c r="A394" i="11"/>
  <c r="H393" i="11"/>
  <c r="G393" i="11"/>
  <c r="F393" i="11"/>
  <c r="E393" i="11"/>
  <c r="D393" i="11"/>
  <c r="C393" i="11"/>
  <c r="B393" i="11"/>
  <c r="A393" i="11"/>
  <c r="H392" i="11"/>
  <c r="G392" i="11"/>
  <c r="F392" i="11"/>
  <c r="E392" i="11"/>
  <c r="D392" i="11"/>
  <c r="C392" i="11"/>
  <c r="B392" i="11"/>
  <c r="A392" i="11"/>
  <c r="H391" i="11"/>
  <c r="G391" i="11"/>
  <c r="F391" i="11"/>
  <c r="E391" i="11"/>
  <c r="D391" i="11"/>
  <c r="C391" i="11"/>
  <c r="B391" i="11"/>
  <c r="A391" i="11"/>
  <c r="H390" i="11"/>
  <c r="G390" i="11"/>
  <c r="F390" i="11"/>
  <c r="E390" i="11"/>
  <c r="D390" i="11"/>
  <c r="C390" i="11"/>
  <c r="B390" i="11"/>
  <c r="A390" i="11"/>
  <c r="H389" i="11"/>
  <c r="G389" i="11"/>
  <c r="F389" i="11"/>
  <c r="E389" i="11"/>
  <c r="D389" i="11"/>
  <c r="C389" i="11"/>
  <c r="B389" i="11"/>
  <c r="A389" i="11"/>
  <c r="H388" i="11"/>
  <c r="G388" i="11"/>
  <c r="F388" i="11"/>
  <c r="E388" i="11"/>
  <c r="D388" i="11"/>
  <c r="C388" i="11"/>
  <c r="B388" i="11"/>
  <c r="A388" i="11"/>
  <c r="H387" i="11"/>
  <c r="G387" i="11"/>
  <c r="F387" i="11"/>
  <c r="E387" i="11"/>
  <c r="D387" i="11"/>
  <c r="C387" i="11"/>
  <c r="B387" i="11"/>
  <c r="A387" i="11"/>
  <c r="H386" i="11"/>
  <c r="G386" i="11"/>
  <c r="F386" i="11"/>
  <c r="E386" i="11"/>
  <c r="D386" i="11"/>
  <c r="C386" i="11"/>
  <c r="B386" i="11"/>
  <c r="A386" i="11"/>
  <c r="H385" i="11"/>
  <c r="G385" i="11"/>
  <c r="F385" i="11"/>
  <c r="E385" i="11"/>
  <c r="D385" i="11"/>
  <c r="C385" i="11"/>
  <c r="B385" i="11"/>
  <c r="A385" i="11"/>
  <c r="H384" i="11"/>
  <c r="G384" i="11"/>
  <c r="F384" i="11"/>
  <c r="E384" i="11"/>
  <c r="D384" i="11"/>
  <c r="C384" i="11"/>
  <c r="B384" i="11"/>
  <c r="A384" i="11"/>
  <c r="H383" i="11"/>
  <c r="G383" i="11"/>
  <c r="F383" i="11"/>
  <c r="E383" i="11"/>
  <c r="D383" i="11"/>
  <c r="C383" i="11"/>
  <c r="B383" i="11"/>
  <c r="A383" i="11"/>
  <c r="H382" i="11"/>
  <c r="G382" i="11"/>
  <c r="F382" i="11"/>
  <c r="E382" i="11"/>
  <c r="D382" i="11"/>
  <c r="C382" i="11"/>
  <c r="B382" i="11"/>
  <c r="A382" i="11"/>
  <c r="H381" i="11"/>
  <c r="G381" i="11"/>
  <c r="F381" i="11"/>
  <c r="E381" i="11"/>
  <c r="D381" i="11"/>
  <c r="C381" i="11"/>
  <c r="B381" i="11"/>
  <c r="A381" i="11"/>
  <c r="H380" i="11"/>
  <c r="G380" i="11"/>
  <c r="F380" i="11"/>
  <c r="E380" i="11"/>
  <c r="D380" i="11"/>
  <c r="C380" i="11"/>
  <c r="B380" i="11"/>
  <c r="A380" i="11"/>
  <c r="H379" i="11"/>
  <c r="G379" i="11"/>
  <c r="F379" i="11"/>
  <c r="E379" i="11"/>
  <c r="D379" i="11"/>
  <c r="C379" i="11"/>
  <c r="B379" i="11"/>
  <c r="A379" i="11"/>
  <c r="H378" i="11"/>
  <c r="G378" i="11"/>
  <c r="F378" i="11"/>
  <c r="E378" i="11"/>
  <c r="D378" i="11"/>
  <c r="C378" i="11"/>
  <c r="B378" i="11"/>
  <c r="A378" i="11"/>
  <c r="H377" i="11"/>
  <c r="G377" i="11"/>
  <c r="F377" i="11"/>
  <c r="E377" i="11"/>
  <c r="D377" i="11"/>
  <c r="C377" i="11"/>
  <c r="B377" i="11"/>
  <c r="A377" i="11"/>
  <c r="H376" i="11"/>
  <c r="G376" i="11"/>
  <c r="F376" i="11"/>
  <c r="E376" i="11"/>
  <c r="D376" i="11"/>
  <c r="C376" i="11"/>
  <c r="B376" i="11"/>
  <c r="A376" i="11"/>
  <c r="H375" i="11"/>
  <c r="G375" i="11"/>
  <c r="F375" i="11"/>
  <c r="E375" i="11"/>
  <c r="D375" i="11"/>
  <c r="C375" i="11"/>
  <c r="B375" i="11"/>
  <c r="A375" i="11"/>
  <c r="H374" i="11"/>
  <c r="G374" i="11"/>
  <c r="F374" i="11"/>
  <c r="E374" i="11"/>
  <c r="D374" i="11"/>
  <c r="C374" i="11"/>
  <c r="B374" i="11"/>
  <c r="A374" i="11"/>
  <c r="H373" i="11"/>
  <c r="G373" i="11"/>
  <c r="F373" i="11"/>
  <c r="E373" i="11"/>
  <c r="D373" i="11"/>
  <c r="C373" i="11"/>
  <c r="B373" i="11"/>
  <c r="A373" i="11"/>
  <c r="H372" i="11"/>
  <c r="G372" i="11"/>
  <c r="F372" i="11"/>
  <c r="E372" i="11"/>
  <c r="D372" i="11"/>
  <c r="C372" i="11"/>
  <c r="B372" i="11"/>
  <c r="A372" i="11"/>
  <c r="H371" i="11"/>
  <c r="G371" i="11"/>
  <c r="F371" i="11"/>
  <c r="E371" i="11"/>
  <c r="D371" i="11"/>
  <c r="C371" i="11"/>
  <c r="B371" i="11"/>
  <c r="A371" i="11"/>
  <c r="H370" i="11"/>
  <c r="G370" i="11"/>
  <c r="F370" i="11"/>
  <c r="E370" i="11"/>
  <c r="D370" i="11"/>
  <c r="C370" i="11"/>
  <c r="B370" i="11"/>
  <c r="A370" i="11"/>
  <c r="H369" i="11"/>
  <c r="G369" i="11"/>
  <c r="F369" i="11"/>
  <c r="E369" i="11"/>
  <c r="D369" i="11"/>
  <c r="C369" i="11"/>
  <c r="B369" i="11"/>
  <c r="A369" i="11"/>
  <c r="H368" i="11"/>
  <c r="G368" i="11"/>
  <c r="F368" i="11"/>
  <c r="E368" i="11"/>
  <c r="D368" i="11"/>
  <c r="C368" i="11"/>
  <c r="B368" i="11"/>
  <c r="A368" i="11"/>
  <c r="H367" i="11"/>
  <c r="G367" i="11"/>
  <c r="F367" i="11"/>
  <c r="E367" i="11"/>
  <c r="D367" i="11"/>
  <c r="C367" i="11"/>
  <c r="B367" i="11"/>
  <c r="A367" i="11"/>
  <c r="H366" i="11"/>
  <c r="G366" i="11"/>
  <c r="F366" i="11"/>
  <c r="E366" i="11"/>
  <c r="D366" i="11"/>
  <c r="C366" i="11"/>
  <c r="B366" i="11"/>
  <c r="A366" i="11"/>
  <c r="H365" i="11"/>
  <c r="G365" i="11"/>
  <c r="F365" i="11"/>
  <c r="E365" i="11"/>
  <c r="D365" i="11"/>
  <c r="C365" i="11"/>
  <c r="B365" i="11"/>
  <c r="A365" i="11"/>
  <c r="H364" i="11"/>
  <c r="G364" i="11"/>
  <c r="F364" i="11"/>
  <c r="E364" i="11"/>
  <c r="D364" i="11"/>
  <c r="C364" i="11"/>
  <c r="B364" i="11"/>
  <c r="A364" i="11"/>
  <c r="G363" i="11"/>
  <c r="F363" i="11"/>
  <c r="E363" i="11"/>
  <c r="D363" i="11"/>
  <c r="C363" i="11"/>
  <c r="B363" i="11"/>
  <c r="G362" i="11"/>
  <c r="F362" i="11"/>
  <c r="E362" i="11"/>
  <c r="D362" i="11"/>
  <c r="C362" i="11"/>
  <c r="B362" i="11"/>
  <c r="G361" i="11"/>
  <c r="F361" i="11"/>
  <c r="E361" i="11"/>
  <c r="D361" i="11"/>
  <c r="C361" i="11"/>
  <c r="B361" i="11"/>
  <c r="G360" i="11"/>
  <c r="F360" i="11"/>
  <c r="E360" i="11"/>
  <c r="D360" i="11"/>
  <c r="C360" i="11"/>
  <c r="B360" i="11"/>
  <c r="G359" i="11"/>
  <c r="F359" i="11"/>
  <c r="E359" i="11"/>
  <c r="D359" i="11"/>
  <c r="C359" i="11"/>
  <c r="B359" i="11"/>
  <c r="G358" i="11"/>
  <c r="F358" i="11"/>
  <c r="E358" i="11"/>
  <c r="D358" i="11"/>
  <c r="C358" i="11"/>
  <c r="B358" i="11"/>
  <c r="G357" i="11"/>
  <c r="F357" i="11"/>
  <c r="E357" i="11"/>
  <c r="D357" i="11"/>
  <c r="C357" i="11"/>
  <c r="B357" i="11"/>
  <c r="G356" i="11"/>
  <c r="F356" i="11"/>
  <c r="E356" i="11"/>
  <c r="D356" i="11"/>
  <c r="C356" i="11"/>
  <c r="B356" i="11"/>
  <c r="G355" i="11"/>
  <c r="F355" i="11"/>
  <c r="E355" i="11"/>
  <c r="D355" i="11"/>
  <c r="C355" i="11"/>
  <c r="B355" i="11"/>
  <c r="G354" i="11"/>
  <c r="F354" i="11"/>
  <c r="E354" i="11"/>
  <c r="D354" i="11"/>
  <c r="C354" i="11"/>
  <c r="B354" i="11"/>
  <c r="G353" i="11"/>
  <c r="F353" i="11"/>
  <c r="E353" i="11"/>
  <c r="D353" i="11"/>
  <c r="C353" i="11"/>
  <c r="B353" i="11"/>
  <c r="G352" i="11"/>
  <c r="F352" i="11"/>
  <c r="E352" i="11"/>
  <c r="D352" i="11"/>
  <c r="C352" i="11"/>
  <c r="B352" i="11"/>
  <c r="G351" i="11"/>
  <c r="F351" i="11"/>
  <c r="E351" i="11"/>
  <c r="D351" i="11"/>
  <c r="C351" i="11"/>
  <c r="B351" i="11"/>
  <c r="G350" i="11"/>
  <c r="F350" i="11"/>
  <c r="E350" i="11"/>
  <c r="D350" i="11"/>
  <c r="C350" i="11"/>
  <c r="B350" i="11"/>
  <c r="G349" i="11"/>
  <c r="F349" i="11"/>
  <c r="E349" i="11"/>
  <c r="D349" i="11"/>
  <c r="C349" i="11"/>
  <c r="B349" i="11"/>
  <c r="G348" i="11"/>
  <c r="F348" i="11"/>
  <c r="E348" i="11"/>
  <c r="D348" i="11"/>
  <c r="C348" i="11"/>
  <c r="B348" i="11"/>
  <c r="G347" i="11"/>
  <c r="F347" i="11"/>
  <c r="E347" i="11"/>
  <c r="D347" i="11"/>
  <c r="C347" i="11"/>
  <c r="B347" i="11"/>
  <c r="G346" i="11"/>
  <c r="F346" i="11"/>
  <c r="E346" i="11"/>
  <c r="D346" i="11"/>
  <c r="C346" i="11"/>
  <c r="B346" i="11"/>
  <c r="G345" i="11"/>
  <c r="F345" i="11"/>
  <c r="E345" i="11"/>
  <c r="D345" i="11"/>
  <c r="C345" i="11"/>
  <c r="B345" i="11"/>
  <c r="G344" i="11"/>
  <c r="F344" i="11"/>
  <c r="E344" i="11"/>
  <c r="D344" i="11"/>
  <c r="C344" i="11"/>
  <c r="B344" i="11"/>
  <c r="G343" i="11"/>
  <c r="F343" i="11"/>
  <c r="E343" i="11"/>
  <c r="D343" i="11"/>
  <c r="C343" i="11"/>
  <c r="B343" i="11"/>
  <c r="G342" i="11"/>
  <c r="F342" i="11"/>
  <c r="E342" i="11"/>
  <c r="D342" i="11"/>
  <c r="C342" i="11"/>
  <c r="B342" i="11"/>
  <c r="G341" i="11"/>
  <c r="F341" i="11"/>
  <c r="E341" i="11"/>
  <c r="D341" i="11"/>
  <c r="C341" i="11"/>
  <c r="B341" i="11"/>
  <c r="G340" i="11"/>
  <c r="F340" i="11"/>
  <c r="E340" i="11"/>
  <c r="D340" i="11"/>
  <c r="C340" i="11"/>
  <c r="B340" i="11"/>
  <c r="G339" i="11"/>
  <c r="F339" i="11"/>
  <c r="E339" i="11"/>
  <c r="D339" i="11"/>
  <c r="C339" i="11"/>
  <c r="B339" i="11"/>
  <c r="G338" i="11"/>
  <c r="F338" i="11"/>
  <c r="E338" i="11"/>
  <c r="D338" i="11"/>
  <c r="C338" i="11"/>
  <c r="B338" i="11"/>
  <c r="G337" i="11"/>
  <c r="F337" i="11"/>
  <c r="E337" i="11"/>
  <c r="D337" i="11"/>
  <c r="C337" i="11"/>
  <c r="B337" i="11"/>
  <c r="G336" i="11"/>
  <c r="F336" i="11"/>
  <c r="E336" i="11"/>
  <c r="D336" i="11"/>
  <c r="C336" i="11"/>
  <c r="B336" i="11"/>
  <c r="G335" i="11"/>
  <c r="F335" i="11"/>
  <c r="E335" i="11"/>
  <c r="D335" i="11"/>
  <c r="C335" i="11"/>
  <c r="B335" i="11"/>
  <c r="G334" i="11"/>
  <c r="F334" i="11"/>
  <c r="E334" i="11"/>
  <c r="D334" i="11"/>
  <c r="C334" i="11"/>
  <c r="B334" i="11"/>
  <c r="G333" i="11"/>
  <c r="F333" i="11"/>
  <c r="E333" i="11"/>
  <c r="D333" i="11"/>
  <c r="C333" i="11"/>
  <c r="B333" i="11"/>
  <c r="G332" i="11"/>
  <c r="F332" i="11"/>
  <c r="E332" i="11"/>
  <c r="D332" i="11"/>
  <c r="C332" i="11"/>
  <c r="B332" i="11"/>
  <c r="A363" i="11"/>
  <c r="A362" i="11"/>
  <c r="A361" i="11"/>
  <c r="A360" i="11"/>
  <c r="A359" i="11"/>
  <c r="A358" i="11"/>
  <c r="A357" i="11"/>
  <c r="A356" i="11"/>
  <c r="A355" i="11"/>
  <c r="A354" i="11"/>
  <c r="A353" i="11"/>
  <c r="A352" i="11"/>
  <c r="A351" i="11"/>
  <c r="A350" i="11"/>
  <c r="A349" i="11"/>
  <c r="A348" i="11"/>
  <c r="A347" i="11"/>
  <c r="A346" i="11"/>
  <c r="A345" i="11"/>
  <c r="A344" i="11"/>
  <c r="A343" i="11"/>
  <c r="A342" i="11"/>
  <c r="A341" i="11"/>
  <c r="A340" i="11"/>
  <c r="A339" i="11"/>
  <c r="A338" i="11"/>
  <c r="A337" i="11"/>
  <c r="A336" i="11"/>
  <c r="A335" i="11"/>
  <c r="A334" i="11"/>
  <c r="A333" i="11"/>
  <c r="A332" i="11"/>
  <c r="A396" i="11"/>
  <c r="A397" i="11"/>
  <c r="A398" i="11"/>
  <c r="A399" i="11"/>
  <c r="A400" i="11"/>
  <c r="A401" i="11"/>
  <c r="A402" i="11"/>
  <c r="A403" i="11"/>
  <c r="A404" i="11"/>
  <c r="A405" i="11"/>
  <c r="A406" i="11"/>
  <c r="A407" i="11"/>
  <c r="A408" i="11"/>
  <c r="A409" i="11"/>
  <c r="A410" i="11"/>
  <c r="A411" i="11"/>
  <c r="G102" i="1"/>
  <c r="K22" i="25"/>
  <c r="G101" i="1"/>
  <c r="I22" i="25"/>
  <c r="G100" i="1"/>
  <c r="G22" i="25"/>
  <c r="G99" i="1"/>
  <c r="E22" i="25"/>
  <c r="G98" i="1"/>
  <c r="K21" i="25"/>
  <c r="G97" i="1"/>
  <c r="I21" i="25"/>
  <c r="G96" i="1"/>
  <c r="G21" i="25"/>
  <c r="G95" i="1"/>
  <c r="E21" i="25"/>
  <c r="G94" i="1"/>
  <c r="K20" i="25"/>
  <c r="G93" i="1"/>
  <c r="I20" i="25"/>
  <c r="G92" i="1"/>
  <c r="G20" i="25"/>
  <c r="G91" i="1"/>
  <c r="E20" i="25"/>
  <c r="G90" i="1"/>
  <c r="K19" i="25"/>
  <c r="G89" i="1"/>
  <c r="I19" i="25"/>
  <c r="G87" i="1"/>
  <c r="E19" i="25"/>
  <c r="G86" i="1"/>
  <c r="K18" i="25"/>
  <c r="G85" i="1"/>
  <c r="I18" i="25"/>
  <c r="G84" i="1"/>
  <c r="G18" i="25"/>
  <c r="G83" i="1"/>
  <c r="E18" i="25"/>
  <c r="G82" i="1"/>
  <c r="K17" i="25"/>
  <c r="G81" i="1"/>
  <c r="I17" i="25"/>
  <c r="G17" i="25"/>
  <c r="G79" i="1"/>
  <c r="E17" i="25"/>
  <c r="G78" i="1"/>
  <c r="K16" i="25"/>
  <c r="G77" i="1"/>
  <c r="I16" i="25"/>
  <c r="G76" i="1"/>
  <c r="G16" i="25"/>
  <c r="G75" i="1"/>
  <c r="E16" i="25"/>
  <c r="G35" i="1"/>
  <c r="G74" i="1"/>
  <c r="K15" i="25"/>
  <c r="G34" i="1"/>
  <c r="G63" i="1"/>
  <c r="G73" i="1"/>
  <c r="I15" i="25"/>
  <c r="G19" i="1"/>
  <c r="G15" i="25"/>
  <c r="G18" i="1"/>
  <c r="G36" i="1"/>
  <c r="E15" i="25"/>
  <c r="G53" i="1"/>
  <c r="K12" i="25"/>
  <c r="G52" i="1"/>
  <c r="I12" i="25"/>
  <c r="G51" i="1"/>
  <c r="G12" i="25"/>
  <c r="G49" i="1"/>
  <c r="G50" i="1"/>
  <c r="E12" i="25"/>
  <c r="K11" i="25"/>
  <c r="G48" i="1"/>
  <c r="I11" i="25"/>
  <c r="G47" i="1"/>
  <c r="G11" i="25"/>
  <c r="G28" i="1"/>
  <c r="G45" i="1"/>
  <c r="G46" i="1"/>
  <c r="E11" i="25"/>
  <c r="K10" i="25"/>
  <c r="G44" i="1"/>
  <c r="I10" i="25"/>
  <c r="G43" i="1"/>
  <c r="G10" i="25"/>
  <c r="G24" i="1"/>
  <c r="G41" i="1"/>
  <c r="G42" i="1"/>
  <c r="E10" i="25"/>
  <c r="K9" i="25"/>
  <c r="G40" i="1"/>
  <c r="I9" i="25"/>
  <c r="G39" i="1"/>
  <c r="G9" i="25"/>
  <c r="G20" i="1"/>
  <c r="G38" i="1"/>
  <c r="E9" i="25"/>
  <c r="K8" i="25"/>
  <c r="I8" i="25"/>
  <c r="G8" i="25"/>
  <c r="G16" i="1"/>
  <c r="E8" i="25"/>
  <c r="G15" i="1"/>
  <c r="K7" i="25"/>
  <c r="G14" i="1"/>
  <c r="I7" i="25"/>
  <c r="G13" i="1"/>
  <c r="G7" i="25"/>
  <c r="G12" i="1"/>
  <c r="E7" i="25"/>
  <c r="G11" i="1"/>
  <c r="K6" i="25"/>
  <c r="G10" i="1"/>
  <c r="I6" i="25"/>
  <c r="G9" i="1"/>
  <c r="G6" i="25"/>
  <c r="G8" i="1"/>
  <c r="E6" i="25"/>
  <c r="K5" i="25"/>
  <c r="I5" i="25"/>
  <c r="G5" i="25"/>
  <c r="E5" i="25"/>
  <c r="K1" i="25"/>
  <c r="I42" i="24"/>
  <c r="G42" i="24"/>
  <c r="E42" i="24"/>
  <c r="I41" i="24"/>
  <c r="G41" i="24"/>
  <c r="E41" i="24"/>
  <c r="I40" i="24"/>
  <c r="G40" i="24"/>
  <c r="E40" i="24"/>
  <c r="I39" i="24"/>
  <c r="G39" i="24"/>
  <c r="G31" i="1"/>
  <c r="E39" i="24"/>
  <c r="G30" i="1"/>
  <c r="I38" i="24"/>
  <c r="G29" i="1"/>
  <c r="G38" i="24"/>
  <c r="G26" i="1"/>
  <c r="E38" i="24"/>
  <c r="G27" i="1"/>
  <c r="I37" i="24"/>
  <c r="G37" i="24"/>
  <c r="E37" i="24"/>
  <c r="I36" i="24"/>
  <c r="G36" i="24"/>
  <c r="E36" i="24"/>
  <c r="I35" i="24"/>
  <c r="G35" i="24"/>
  <c r="E35" i="24"/>
  <c r="I32" i="24"/>
  <c r="G32" i="24"/>
  <c r="E32" i="24"/>
  <c r="I31" i="24"/>
  <c r="G31" i="24"/>
  <c r="E31" i="24"/>
  <c r="I30" i="24"/>
  <c r="G30" i="24"/>
  <c r="E30" i="24"/>
  <c r="I29" i="24"/>
  <c r="E29" i="24"/>
  <c r="I28" i="24"/>
  <c r="G28" i="24"/>
  <c r="E28" i="24"/>
  <c r="G72" i="1"/>
  <c r="I27" i="24"/>
  <c r="G23" i="1"/>
  <c r="G27" i="24"/>
  <c r="G22" i="1"/>
  <c r="E27" i="24"/>
  <c r="G21" i="1"/>
  <c r="I26" i="24"/>
  <c r="G26" i="24"/>
  <c r="E26" i="24"/>
  <c r="I25" i="24"/>
  <c r="G25" i="24"/>
  <c r="E25" i="24"/>
  <c r="I22" i="24"/>
  <c r="G22" i="24"/>
  <c r="E22" i="24"/>
  <c r="I21" i="24"/>
  <c r="G21" i="24"/>
  <c r="E21" i="24"/>
  <c r="I20" i="24"/>
  <c r="G20" i="24"/>
  <c r="E20" i="24"/>
  <c r="G71" i="1"/>
  <c r="I19" i="24"/>
  <c r="G19" i="24"/>
  <c r="E19" i="24"/>
  <c r="G70" i="1"/>
  <c r="I18" i="24"/>
  <c r="G18" i="24"/>
  <c r="E18" i="24"/>
  <c r="G69" i="1"/>
  <c r="I17" i="24"/>
  <c r="G68" i="1"/>
  <c r="G17" i="24"/>
  <c r="E17" i="24"/>
  <c r="I16" i="24"/>
  <c r="G67" i="1"/>
  <c r="G16" i="24"/>
  <c r="G66" i="1"/>
  <c r="E16" i="24"/>
  <c r="G62" i="1"/>
  <c r="G65" i="1"/>
  <c r="I15" i="24"/>
  <c r="G15" i="24"/>
  <c r="G64" i="1"/>
  <c r="E15" i="24"/>
  <c r="I12" i="24"/>
  <c r="G12" i="24"/>
  <c r="E12" i="24"/>
  <c r="I11" i="24"/>
  <c r="G11" i="24"/>
  <c r="E11" i="24"/>
  <c r="I10" i="24"/>
  <c r="G10" i="24"/>
  <c r="E10" i="24"/>
  <c r="I9" i="24"/>
  <c r="G9" i="24"/>
  <c r="E9" i="24"/>
  <c r="I8" i="24"/>
  <c r="G8" i="24"/>
  <c r="E8" i="24"/>
  <c r="I7" i="24"/>
  <c r="G7" i="24"/>
  <c r="E7" i="24"/>
  <c r="I6" i="24"/>
  <c r="G6" i="24"/>
  <c r="E6" i="24"/>
  <c r="I5" i="24"/>
  <c r="G5" i="24"/>
  <c r="E5" i="24"/>
  <c r="I1" i="24"/>
  <c r="N24" i="3"/>
  <c r="M24" i="3"/>
  <c r="F24" i="3"/>
  <c r="E24" i="3"/>
  <c r="N23" i="3"/>
  <c r="M23" i="3"/>
  <c r="F23" i="3"/>
  <c r="E23" i="3"/>
  <c r="N22" i="3"/>
  <c r="M22" i="3"/>
  <c r="F22" i="3"/>
  <c r="E22" i="3"/>
  <c r="N21" i="3"/>
  <c r="M21" i="3"/>
  <c r="F21" i="3"/>
  <c r="E21" i="3"/>
  <c r="G103"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G61" i="1"/>
  <c r="H61" i="1"/>
  <c r="G60" i="1"/>
  <c r="H60" i="1"/>
  <c r="G59" i="1"/>
  <c r="H59" i="1"/>
  <c r="G58" i="1"/>
  <c r="H58" i="1"/>
  <c r="G57" i="1"/>
  <c r="H57" i="1"/>
  <c r="G56" i="1"/>
  <c r="H56" i="1"/>
  <c r="G55" i="1"/>
  <c r="H55" i="1"/>
  <c r="G54"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B5" i="11"/>
  <c r="B4" i="11"/>
  <c r="E5" i="11"/>
  <c r="E4" i="11"/>
  <c r="D5" i="11"/>
  <c r="D4" i="11"/>
  <c r="C5" i="11"/>
  <c r="C4" i="11"/>
  <c r="A5" i="11"/>
  <c r="A4" i="11"/>
  <c r="G3" i="1"/>
  <c r="G28" i="19"/>
  <c r="I16" i="22"/>
  <c r="G27" i="19"/>
  <c r="K36" i="17"/>
  <c r="I36" i="17"/>
  <c r="G36" i="17"/>
  <c r="E36" i="17"/>
  <c r="A322" i="11"/>
  <c r="B322" i="11"/>
  <c r="C322" i="11"/>
  <c r="D322" i="11"/>
  <c r="E322" i="11"/>
  <c r="F322" i="11"/>
  <c r="A323" i="11"/>
  <c r="B323" i="11"/>
  <c r="C323" i="11"/>
  <c r="D323" i="11"/>
  <c r="E323" i="11"/>
  <c r="F323" i="11"/>
  <c r="A34" i="22"/>
  <c r="B34" i="22"/>
  <c r="C34" i="22"/>
  <c r="D34" i="22"/>
  <c r="E34" i="22"/>
  <c r="F34" i="22"/>
  <c r="G34" i="22"/>
  <c r="H34" i="22"/>
  <c r="I34" i="22"/>
  <c r="J34" i="22"/>
  <c r="K34" i="22"/>
  <c r="L34" i="22"/>
  <c r="M34" i="22"/>
  <c r="N34" i="22"/>
  <c r="O34" i="22"/>
  <c r="P34" i="22"/>
  <c r="Q34" i="22"/>
  <c r="R34" i="22"/>
  <c r="S34" i="22"/>
  <c r="T34" i="22"/>
  <c r="U34" i="22"/>
  <c r="V34" i="22"/>
  <c r="W34" i="22"/>
  <c r="X34" i="22"/>
  <c r="Y34" i="22"/>
  <c r="Z34" i="22"/>
  <c r="AA34" i="22"/>
  <c r="AB34" i="22"/>
  <c r="AC34" i="22"/>
  <c r="AD34" i="22"/>
  <c r="AE34" i="22"/>
  <c r="AF34" i="22"/>
  <c r="AG34" i="22"/>
  <c r="AH34" i="22"/>
  <c r="AI34" i="22"/>
  <c r="AJ34" i="22"/>
  <c r="AK34" i="22"/>
  <c r="AL34" i="22"/>
  <c r="AM34" i="22"/>
  <c r="AN34" i="22"/>
  <c r="AO34" i="22"/>
  <c r="AP34" i="22"/>
  <c r="AQ34" i="22"/>
  <c r="AR34" i="22"/>
  <c r="AS34" i="22"/>
  <c r="AT34" i="22"/>
  <c r="AU34" i="22"/>
  <c r="AV34" i="22"/>
  <c r="AW34" i="22"/>
  <c r="AX34" i="22"/>
  <c r="AY34" i="22"/>
  <c r="AZ34" i="22"/>
  <c r="BA34" i="22"/>
  <c r="BB34" i="22"/>
  <c r="BC34" i="22"/>
  <c r="BD34" i="22"/>
  <c r="BE34" i="22"/>
  <c r="BF34" i="22"/>
  <c r="BG34" i="22"/>
  <c r="BH34" i="22"/>
  <c r="BI34" i="22"/>
  <c r="BJ34" i="22"/>
  <c r="BK34" i="22"/>
  <c r="BL34" i="22"/>
  <c r="BM34" i="22"/>
  <c r="BN34" i="22"/>
  <c r="BO34" i="22"/>
  <c r="BP34" i="22"/>
  <c r="BQ34" i="22"/>
  <c r="BR34" i="22"/>
  <c r="BS34" i="22"/>
  <c r="BT34" i="22"/>
  <c r="BU34" i="22"/>
  <c r="BV34" i="22"/>
  <c r="BW34" i="22"/>
  <c r="BX34" i="22"/>
  <c r="BY34" i="22"/>
  <c r="BZ34" i="22"/>
  <c r="CA34" i="22"/>
  <c r="CB34" i="22"/>
  <c r="CC34" i="22"/>
  <c r="CD34" i="22"/>
  <c r="CE34" i="22"/>
  <c r="CF34" i="22"/>
  <c r="CG34" i="22"/>
  <c r="CH34" i="22"/>
  <c r="CI34" i="22"/>
  <c r="CJ34" i="22"/>
  <c r="CK34" i="22"/>
  <c r="CL34" i="22"/>
  <c r="CM34" i="22"/>
  <c r="CN34" i="22"/>
  <c r="CO34" i="22"/>
  <c r="CP34" i="22"/>
  <c r="CQ34" i="22"/>
  <c r="CR34" i="22"/>
  <c r="CS34" i="22"/>
  <c r="CT34" i="22"/>
  <c r="CU34" i="22"/>
  <c r="CV34" i="22"/>
  <c r="CW34" i="22"/>
  <c r="CX34" i="22"/>
  <c r="CY34" i="22"/>
  <c r="CZ34" i="22"/>
  <c r="A33" i="22"/>
  <c r="B33" i="22"/>
  <c r="C33" i="22"/>
  <c r="D33" i="22"/>
  <c r="E33" i="22"/>
  <c r="F33" i="22"/>
  <c r="G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M33" i="22"/>
  <c r="AN33" i="22"/>
  <c r="AO33" i="22"/>
  <c r="AP33" i="22"/>
  <c r="AQ33" i="22"/>
  <c r="AR33" i="22"/>
  <c r="AS33" i="22"/>
  <c r="AT33" i="22"/>
  <c r="AU33" i="22"/>
  <c r="AV33" i="22"/>
  <c r="AW33" i="22"/>
  <c r="AX33" i="22"/>
  <c r="AY33" i="22"/>
  <c r="AZ33" i="22"/>
  <c r="BA33" i="22"/>
  <c r="BB33" i="22"/>
  <c r="BC33" i="22"/>
  <c r="BD33" i="22"/>
  <c r="BE33" i="22"/>
  <c r="BF33" i="22"/>
  <c r="BG33" i="22"/>
  <c r="BH33" i="22"/>
  <c r="BI33" i="22"/>
  <c r="BJ33" i="22"/>
  <c r="BK33" i="22"/>
  <c r="BL33" i="22"/>
  <c r="BM33" i="22"/>
  <c r="BN33" i="22"/>
  <c r="BO33" i="22"/>
  <c r="BP33" i="22"/>
  <c r="BQ33" i="22"/>
  <c r="BR33" i="22"/>
  <c r="BS33" i="22"/>
  <c r="BT33" i="22"/>
  <c r="BU33" i="22"/>
  <c r="BV33" i="22"/>
  <c r="BW33" i="22"/>
  <c r="BX33" i="22"/>
  <c r="BY33" i="22"/>
  <c r="BZ33" i="22"/>
  <c r="CA33" i="22"/>
  <c r="CB33" i="22"/>
  <c r="CC33" i="22"/>
  <c r="CD33" i="22"/>
  <c r="CE33" i="22"/>
  <c r="CF33" i="22"/>
  <c r="CG33" i="22"/>
  <c r="CH33" i="22"/>
  <c r="CI33" i="22"/>
  <c r="CJ33" i="22"/>
  <c r="CK33" i="22"/>
  <c r="CL33" i="22"/>
  <c r="CM33" i="22"/>
  <c r="CN33" i="22"/>
  <c r="CO33" i="22"/>
  <c r="CP33" i="22"/>
  <c r="CQ33" i="22"/>
  <c r="CR33" i="22"/>
  <c r="CS33" i="22"/>
  <c r="CT33" i="22"/>
  <c r="CU33" i="22"/>
  <c r="CV33" i="22"/>
  <c r="CW33" i="22"/>
  <c r="CX33" i="22"/>
  <c r="CY33" i="22"/>
  <c r="CZ33" i="22"/>
  <c r="DA33" i="22"/>
  <c r="DB33" i="22"/>
  <c r="DC33" i="22"/>
  <c r="DD33" i="22"/>
  <c r="DE33" i="22"/>
  <c r="DF33" i="22"/>
  <c r="DG33" i="22"/>
  <c r="DH33" i="22"/>
  <c r="DI33" i="22"/>
  <c r="DJ33" i="22"/>
  <c r="DK33" i="22"/>
  <c r="DL33" i="22"/>
  <c r="DM33" i="22"/>
  <c r="DN33" i="22"/>
  <c r="DO33" i="22"/>
  <c r="DP33" i="22"/>
  <c r="DQ33" i="22"/>
  <c r="DR33" i="22"/>
  <c r="DS33" i="22"/>
  <c r="DT33" i="22"/>
  <c r="DU33" i="22"/>
  <c r="DV33" i="22"/>
  <c r="DW33" i="22"/>
  <c r="DX33" i="22"/>
  <c r="DY33" i="22"/>
  <c r="DZ33" i="22"/>
  <c r="EA33" i="22"/>
  <c r="EB33" i="22"/>
  <c r="EC33" i="22"/>
  <c r="ED33" i="22"/>
  <c r="EE33" i="22"/>
  <c r="EF33" i="22"/>
  <c r="EG33" i="22"/>
  <c r="EH33" i="22"/>
  <c r="EI33" i="22"/>
  <c r="EJ33" i="22"/>
  <c r="EK33" i="22"/>
  <c r="EL33" i="22"/>
  <c r="EM33" i="22"/>
  <c r="EN33" i="22"/>
  <c r="EO33" i="22"/>
  <c r="EP33" i="22"/>
  <c r="EQ33" i="22"/>
  <c r="ER33" i="22"/>
  <c r="ES33" i="22"/>
  <c r="ET33" i="22"/>
  <c r="EU33" i="22"/>
  <c r="EV33" i="22"/>
  <c r="EW33" i="22"/>
  <c r="EX33" i="22"/>
  <c r="EY33" i="22"/>
  <c r="EZ33" i="22"/>
  <c r="FA33" i="22"/>
  <c r="FB33" i="22"/>
  <c r="FC33" i="22"/>
  <c r="FD33" i="22"/>
  <c r="FE33" i="22"/>
  <c r="FF33" i="22"/>
  <c r="FG33" i="22"/>
  <c r="FH33" i="22"/>
  <c r="FI33" i="22"/>
  <c r="FJ33" i="22"/>
  <c r="FK33" i="22"/>
  <c r="FL33" i="22"/>
  <c r="FM33" i="22"/>
  <c r="FN33" i="22"/>
  <c r="FO33" i="22"/>
  <c r="FP33" i="22"/>
  <c r="FQ33" i="22"/>
  <c r="FR33" i="22"/>
  <c r="FS33" i="22"/>
  <c r="FT33" i="22"/>
  <c r="FU33" i="22"/>
  <c r="FV33" i="22"/>
  <c r="FW33" i="22"/>
  <c r="FX33" i="22"/>
  <c r="FY33" i="22"/>
  <c r="FZ33" i="22"/>
  <c r="GA33" i="22"/>
  <c r="GB33" i="22"/>
  <c r="GC33" i="22"/>
  <c r="GD33" i="22"/>
  <c r="GE33" i="22"/>
  <c r="GF33" i="22"/>
  <c r="GG33" i="22"/>
  <c r="GH33" i="22"/>
  <c r="GI33" i="22"/>
  <c r="GJ33" i="22"/>
  <c r="GK33" i="22"/>
  <c r="GL33" i="22"/>
  <c r="GM33" i="22"/>
  <c r="GN33" i="22"/>
  <c r="GO33" i="22"/>
  <c r="GP33" i="22"/>
  <c r="GQ33" i="22"/>
  <c r="GR33" i="22"/>
  <c r="GS33" i="22"/>
  <c r="GT33" i="22"/>
  <c r="GU33" i="22"/>
  <c r="GV33" i="22"/>
  <c r="GW33" i="22"/>
  <c r="GX33" i="22"/>
  <c r="GY33" i="22"/>
  <c r="GZ33" i="22"/>
  <c r="HA33" i="22"/>
  <c r="HB33" i="22"/>
  <c r="HC33" i="22"/>
  <c r="HD33" i="22"/>
  <c r="HE33" i="22"/>
  <c r="HF33" i="22"/>
  <c r="HG33" i="22"/>
  <c r="HH33" i="22"/>
  <c r="HI33" i="22"/>
  <c r="HJ33" i="22"/>
  <c r="HK33" i="22"/>
  <c r="HL33" i="22"/>
  <c r="HM33" i="22"/>
  <c r="HN33" i="22"/>
  <c r="HO33" i="22"/>
  <c r="HP33" i="22"/>
  <c r="HQ33" i="22"/>
  <c r="HR33" i="22"/>
  <c r="HS33" i="22"/>
  <c r="HY33" i="22"/>
  <c r="HZ33" i="22"/>
  <c r="IA33" i="22"/>
  <c r="IB33" i="22"/>
  <c r="IG33" i="22"/>
  <c r="IH33" i="22"/>
  <c r="II33" i="22"/>
  <c r="IJ33" i="22"/>
  <c r="IK33" i="22"/>
  <c r="IL33" i="22"/>
  <c r="IM33" i="22"/>
  <c r="IN33" i="22"/>
  <c r="A32" i="22"/>
  <c r="B32" i="22"/>
  <c r="C32" i="22"/>
  <c r="E32" i="22"/>
  <c r="F32" i="22"/>
  <c r="G32" i="22"/>
  <c r="H32" i="22"/>
  <c r="I32" i="22"/>
  <c r="J32" i="22"/>
  <c r="K32" i="22"/>
  <c r="L32" i="22"/>
  <c r="M32" i="22"/>
  <c r="N32" i="22"/>
  <c r="O32" i="22"/>
  <c r="P32" i="22"/>
  <c r="Q32" i="22"/>
  <c r="R32" i="22"/>
  <c r="S32" i="22"/>
  <c r="T32" i="22"/>
  <c r="U32" i="22"/>
  <c r="V32" i="22"/>
  <c r="W32" i="22"/>
  <c r="X32" i="22"/>
  <c r="A324" i="11"/>
  <c r="Y32" i="22"/>
  <c r="B324" i="11"/>
  <c r="Z32" i="22"/>
  <c r="C324" i="11"/>
  <c r="AA32" i="22"/>
  <c r="D324" i="11"/>
  <c r="AB32" i="22"/>
  <c r="E324" i="11"/>
  <c r="AC32" i="22"/>
  <c r="F324" i="11"/>
  <c r="AD32" i="22"/>
  <c r="AE32" i="22"/>
  <c r="AF32" i="22"/>
  <c r="AG32" i="22"/>
  <c r="AH32" i="22"/>
  <c r="A325" i="11"/>
  <c r="AI32" i="22"/>
  <c r="B325" i="11"/>
  <c r="AJ32" i="22"/>
  <c r="C325" i="11"/>
  <c r="AK32" i="22"/>
  <c r="D325" i="11"/>
  <c r="AL32" i="22"/>
  <c r="E325" i="11"/>
  <c r="AM32" i="22"/>
  <c r="F325" i="11"/>
  <c r="AN32" i="22"/>
  <c r="AO32" i="22"/>
  <c r="AP32" i="22"/>
  <c r="AQ32" i="22"/>
  <c r="AR32" i="22"/>
  <c r="A326" i="11"/>
  <c r="AS32" i="22"/>
  <c r="B326" i="11"/>
  <c r="AT32" i="22"/>
  <c r="C326" i="11"/>
  <c r="AU32" i="22"/>
  <c r="D326" i="11"/>
  <c r="AV32" i="22"/>
  <c r="E326" i="11"/>
  <c r="AW32" i="22"/>
  <c r="F326" i="11"/>
  <c r="AX32" i="22"/>
  <c r="AY32" i="22"/>
  <c r="AZ32" i="22"/>
  <c r="BA32" i="22"/>
  <c r="BB32" i="22"/>
  <c r="A327" i="11"/>
  <c r="BC32" i="22"/>
  <c r="B327" i="11"/>
  <c r="BD32" i="22"/>
  <c r="C327" i="11"/>
  <c r="BE32" i="22"/>
  <c r="D327" i="11"/>
  <c r="BF32" i="22"/>
  <c r="E327" i="11"/>
  <c r="BG32" i="22"/>
  <c r="F327" i="11"/>
  <c r="BH32" i="22"/>
  <c r="BI32" i="22"/>
  <c r="BJ32" i="22"/>
  <c r="BK32" i="22"/>
  <c r="BL32" i="22"/>
  <c r="A328" i="11"/>
  <c r="BM32" i="22"/>
  <c r="B328" i="11"/>
  <c r="BN32" i="22"/>
  <c r="C328" i="11"/>
  <c r="BO32" i="22"/>
  <c r="D328" i="11"/>
  <c r="BP32" i="22"/>
  <c r="E328" i="11"/>
  <c r="BQ32" i="22"/>
  <c r="F328" i="11"/>
  <c r="BR32" i="22"/>
  <c r="BS32" i="22"/>
  <c r="BT32" i="22"/>
  <c r="BU32" i="22"/>
  <c r="BV32" i="22"/>
  <c r="A329" i="11"/>
  <c r="BW32" i="22"/>
  <c r="B329" i="11"/>
  <c r="BX32" i="22"/>
  <c r="C329" i="11"/>
  <c r="BY32" i="22"/>
  <c r="D329" i="11"/>
  <c r="BZ32" i="22"/>
  <c r="E329" i="11"/>
  <c r="CA32" i="22"/>
  <c r="F329" i="11"/>
  <c r="CB32" i="22"/>
  <c r="CC32" i="22"/>
  <c r="CD32" i="22"/>
  <c r="CE32" i="22"/>
  <c r="CF32" i="22"/>
  <c r="A330" i="11"/>
  <c r="CG32" i="22"/>
  <c r="B330" i="11"/>
  <c r="CH32" i="22"/>
  <c r="C330" i="11"/>
  <c r="CI32" i="22"/>
  <c r="D330" i="11"/>
  <c r="CJ32" i="22"/>
  <c r="E330" i="11"/>
  <c r="CK32" i="22"/>
  <c r="F330" i="11"/>
  <c r="CL32" i="22"/>
  <c r="CM32" i="22"/>
  <c r="CN32" i="22"/>
  <c r="CO32" i="22"/>
  <c r="CP32" i="22"/>
  <c r="A331" i="11"/>
  <c r="CQ32" i="22"/>
  <c r="B331" i="11"/>
  <c r="CR32" i="22"/>
  <c r="C331" i="11"/>
  <c r="CS32" i="22"/>
  <c r="D331" i="11"/>
  <c r="CT32" i="22"/>
  <c r="E331" i="11"/>
  <c r="CU32" i="22"/>
  <c r="F331" i="11"/>
  <c r="CV32" i="22"/>
  <c r="CW32" i="22"/>
  <c r="CX32" i="22"/>
  <c r="CY32" i="22"/>
  <c r="CZ32" i="22"/>
  <c r="DA32" i="22"/>
  <c r="DB32" i="22"/>
  <c r="DC32" i="22"/>
  <c r="DD32" i="22"/>
  <c r="DE32" i="22"/>
  <c r="DF32" i="22"/>
  <c r="DG32" i="22"/>
  <c r="DH32" i="22"/>
  <c r="DI32" i="22"/>
  <c r="DJ32" i="22"/>
  <c r="DK32" i="22"/>
  <c r="DL32" i="22"/>
  <c r="DM32" i="22"/>
  <c r="DN32" i="22"/>
  <c r="DO32" i="22"/>
  <c r="DP32" i="22"/>
  <c r="DQ32" i="22"/>
  <c r="DR32" i="22"/>
  <c r="DS32" i="22"/>
  <c r="DT32" i="22"/>
  <c r="DU32" i="22"/>
  <c r="DV32" i="22"/>
  <c r="DW32" i="22"/>
  <c r="DX32" i="22"/>
  <c r="DY32" i="22"/>
  <c r="DZ32" i="22"/>
  <c r="EA32" i="22"/>
  <c r="EB32" i="22"/>
  <c r="EC32" i="22"/>
  <c r="ED32" i="22"/>
  <c r="EE32" i="22"/>
  <c r="EF32" i="22"/>
  <c r="EG32" i="22"/>
  <c r="EH32" i="22"/>
  <c r="EI32" i="22"/>
  <c r="EJ32" i="22"/>
  <c r="EK32" i="22"/>
  <c r="EL32" i="22"/>
  <c r="EM32" i="22"/>
  <c r="EN32" i="22"/>
  <c r="EO32" i="22"/>
  <c r="EP32" i="22"/>
  <c r="EQ32" i="22"/>
  <c r="ER32" i="22"/>
  <c r="ES32" i="22"/>
  <c r="ET32" i="22"/>
  <c r="EU32" i="22"/>
  <c r="EV32" i="22"/>
  <c r="EW32" i="22"/>
  <c r="EX32" i="22"/>
  <c r="EY32" i="22"/>
  <c r="EZ32" i="22"/>
  <c r="FA32" i="22"/>
  <c r="FB32" i="22"/>
  <c r="FC32" i="22"/>
  <c r="FD32" i="22"/>
  <c r="FE32" i="22"/>
  <c r="FF32" i="22"/>
  <c r="FG32" i="22"/>
  <c r="FH32" i="22"/>
  <c r="FI32" i="22"/>
  <c r="FJ32" i="22"/>
  <c r="FK32" i="22"/>
  <c r="FL32" i="22"/>
  <c r="FM32" i="22"/>
  <c r="FN32" i="22"/>
  <c r="FO32" i="22"/>
  <c r="FP32" i="22"/>
  <c r="FQ32" i="22"/>
  <c r="FR32" i="22"/>
  <c r="FS32" i="22"/>
  <c r="FT32" i="22"/>
  <c r="FU32" i="22"/>
  <c r="FV32" i="22"/>
  <c r="FW32" i="22"/>
  <c r="FX32" i="22"/>
  <c r="FY32" i="22"/>
  <c r="FZ32" i="22"/>
  <c r="GA32" i="22"/>
  <c r="GB32" i="22"/>
  <c r="GC32" i="22"/>
  <c r="GD32" i="22"/>
  <c r="GE32" i="22"/>
  <c r="GF32" i="22"/>
  <c r="GG32" i="22"/>
  <c r="GH32" i="22"/>
  <c r="GI32" i="22"/>
  <c r="GJ32" i="22"/>
  <c r="GK32" i="22"/>
  <c r="GL32" i="22"/>
  <c r="GM32" i="22"/>
  <c r="GN32" i="22"/>
  <c r="GO32" i="22"/>
  <c r="GP32" i="22"/>
  <c r="GQ32" i="22"/>
  <c r="GR32" i="22"/>
  <c r="GS32" i="22"/>
  <c r="GT32" i="22"/>
  <c r="GU32" i="22"/>
  <c r="GV32" i="22"/>
  <c r="GW32" i="22"/>
  <c r="GX32" i="22"/>
  <c r="GY32" i="22"/>
  <c r="GZ32" i="22"/>
  <c r="HA32" i="22"/>
  <c r="HB32" i="22"/>
  <c r="HC32" i="22"/>
  <c r="HD32" i="22"/>
  <c r="HE32" i="22"/>
  <c r="HF32" i="22"/>
  <c r="HG32" i="22"/>
  <c r="HH32" i="22"/>
  <c r="HI32" i="22"/>
  <c r="HJ32" i="22"/>
  <c r="HK32" i="22"/>
  <c r="HL32" i="22"/>
  <c r="HM32" i="22"/>
  <c r="HN32" i="22"/>
  <c r="HO32" i="22"/>
  <c r="HP32" i="22"/>
  <c r="HQ32" i="22"/>
  <c r="HR32" i="22"/>
  <c r="HS32" i="22"/>
  <c r="HT32" i="22"/>
  <c r="HU32" i="22"/>
  <c r="HV32" i="22"/>
  <c r="HW32" i="22"/>
  <c r="HX32" i="22"/>
  <c r="HY32" i="22"/>
  <c r="HZ32" i="22"/>
  <c r="IA32" i="22"/>
  <c r="IB32" i="22"/>
  <c r="IC32" i="22"/>
  <c r="ID32" i="22"/>
  <c r="IE32" i="22"/>
  <c r="IF32" i="22"/>
  <c r="IG32" i="22"/>
  <c r="IH32" i="22"/>
  <c r="II32" i="22"/>
  <c r="IJ32" i="22"/>
  <c r="IK32" i="22"/>
  <c r="IL32" i="22"/>
  <c r="IM32" i="22"/>
  <c r="IN32" i="22"/>
  <c r="IO32" i="22"/>
  <c r="IP32" i="22"/>
  <c r="IQ32" i="22"/>
  <c r="IR32" i="22"/>
  <c r="IS32" i="22"/>
  <c r="IT32" i="22"/>
  <c r="IU32" i="22"/>
  <c r="IV32" i="22"/>
  <c r="A300" i="11"/>
  <c r="A31" i="22"/>
  <c r="B300" i="11"/>
  <c r="B31" i="22"/>
  <c r="C300" i="11"/>
  <c r="C31" i="22"/>
  <c r="D300" i="11"/>
  <c r="D31" i="22"/>
  <c r="E300" i="11"/>
  <c r="E31" i="22"/>
  <c r="F300" i="11"/>
  <c r="F31" i="22"/>
  <c r="G31" i="22"/>
  <c r="H31" i="22"/>
  <c r="I31" i="22"/>
  <c r="J31" i="22"/>
  <c r="A301" i="11"/>
  <c r="K31" i="22"/>
  <c r="B301" i="11"/>
  <c r="L31" i="22"/>
  <c r="C301" i="11"/>
  <c r="M31" i="22"/>
  <c r="D301" i="11"/>
  <c r="N31" i="22"/>
  <c r="E301" i="11"/>
  <c r="O31" i="22"/>
  <c r="F301" i="11"/>
  <c r="P31" i="22"/>
  <c r="Q31" i="22"/>
  <c r="R31" i="22"/>
  <c r="S31" i="22"/>
  <c r="T31" i="22"/>
  <c r="A302" i="11"/>
  <c r="U31" i="22"/>
  <c r="B302" i="11"/>
  <c r="V31" i="22"/>
  <c r="C302" i="11"/>
  <c r="W31" i="22"/>
  <c r="D302" i="11"/>
  <c r="X31" i="22"/>
  <c r="E302" i="11"/>
  <c r="Y31" i="22"/>
  <c r="F302" i="11"/>
  <c r="Z31" i="22"/>
  <c r="AA31" i="22"/>
  <c r="AB31" i="22"/>
  <c r="AC31" i="22"/>
  <c r="AD31" i="22"/>
  <c r="A303" i="11"/>
  <c r="AE31" i="22"/>
  <c r="B303" i="11"/>
  <c r="AF31" i="22"/>
  <c r="C303" i="11"/>
  <c r="AG31" i="22"/>
  <c r="D303" i="11"/>
  <c r="AH31" i="22"/>
  <c r="E303" i="11"/>
  <c r="AI31" i="22"/>
  <c r="F303" i="11"/>
  <c r="AJ31" i="22"/>
  <c r="AK31" i="22"/>
  <c r="AL31" i="22"/>
  <c r="AM31" i="22"/>
  <c r="AN31" i="22"/>
  <c r="A304" i="11"/>
  <c r="AO31" i="22"/>
  <c r="B304" i="11"/>
  <c r="AP31" i="22"/>
  <c r="C304" i="11"/>
  <c r="AQ31" i="22"/>
  <c r="D304" i="11"/>
  <c r="AR31" i="22"/>
  <c r="E304" i="11"/>
  <c r="AS31" i="22"/>
  <c r="F304" i="11"/>
  <c r="AT31" i="22"/>
  <c r="AU31" i="22"/>
  <c r="AV31" i="22"/>
  <c r="AW31" i="22"/>
  <c r="AX31" i="22"/>
  <c r="A305" i="11"/>
  <c r="AY31" i="22"/>
  <c r="B305" i="11"/>
  <c r="AZ31" i="22"/>
  <c r="C305" i="11"/>
  <c r="BA31" i="22"/>
  <c r="D305" i="11"/>
  <c r="BB31" i="22"/>
  <c r="E305" i="11"/>
  <c r="BC31" i="22"/>
  <c r="F305" i="11"/>
  <c r="BD31" i="22"/>
  <c r="BE31" i="22"/>
  <c r="BF31" i="22"/>
  <c r="BG31" i="22"/>
  <c r="BH31" i="22"/>
  <c r="BI31" i="22"/>
  <c r="BJ31" i="22"/>
  <c r="BK31" i="22"/>
  <c r="BL31" i="22"/>
  <c r="BM31" i="22"/>
  <c r="BN31" i="22"/>
  <c r="BO31" i="22"/>
  <c r="BP31" i="22"/>
  <c r="BQ31" i="22"/>
  <c r="BR31" i="22"/>
  <c r="BS31" i="22"/>
  <c r="BT31" i="22"/>
  <c r="BU31" i="22"/>
  <c r="BV31" i="22"/>
  <c r="BW31" i="22"/>
  <c r="BX31" i="22"/>
  <c r="BY31" i="22"/>
  <c r="BZ31" i="22"/>
  <c r="CA31" i="22"/>
  <c r="CB31" i="22"/>
  <c r="A306" i="11"/>
  <c r="CC31" i="22"/>
  <c r="B306" i="11"/>
  <c r="CD31" i="22"/>
  <c r="C306" i="11"/>
  <c r="CE31" i="22"/>
  <c r="D306" i="11"/>
  <c r="CF31" i="22"/>
  <c r="E306" i="11"/>
  <c r="CG31" i="22"/>
  <c r="F306" i="11"/>
  <c r="CH31" i="22"/>
  <c r="CI31" i="22"/>
  <c r="CJ31" i="22"/>
  <c r="CK31" i="22"/>
  <c r="CL31" i="22"/>
  <c r="A307" i="11"/>
  <c r="CM31" i="22"/>
  <c r="B307" i="11"/>
  <c r="CN31" i="22"/>
  <c r="C307" i="11"/>
  <c r="CO31" i="22"/>
  <c r="D307" i="11"/>
  <c r="CP31" i="22"/>
  <c r="E307" i="11"/>
  <c r="CQ31" i="22"/>
  <c r="F307" i="11"/>
  <c r="CR31" i="22"/>
  <c r="CS31" i="22"/>
  <c r="CT31" i="22"/>
  <c r="CU31" i="22"/>
  <c r="CV31" i="22"/>
  <c r="A308" i="11"/>
  <c r="CW31" i="22"/>
  <c r="B308" i="11"/>
  <c r="CX31" i="22"/>
  <c r="C308" i="11"/>
  <c r="CY31" i="22"/>
  <c r="D308" i="11"/>
  <c r="CZ31" i="22"/>
  <c r="E308" i="11"/>
  <c r="DA31" i="22"/>
  <c r="F308" i="11"/>
  <c r="DB31" i="22"/>
  <c r="DC31" i="22"/>
  <c r="DD31" i="22"/>
  <c r="DE31" i="22"/>
  <c r="DF31" i="22"/>
  <c r="A309" i="11"/>
  <c r="DG31" i="22"/>
  <c r="B309" i="11"/>
  <c r="DH31" i="22"/>
  <c r="C309" i="11"/>
  <c r="DI31" i="22"/>
  <c r="D309" i="11"/>
  <c r="DJ31" i="22"/>
  <c r="E309" i="11"/>
  <c r="DK31" i="22"/>
  <c r="F309" i="11"/>
  <c r="DL31" i="22"/>
  <c r="DM31" i="22"/>
  <c r="DN31" i="22"/>
  <c r="DO31" i="22"/>
  <c r="DP31" i="22"/>
  <c r="A310" i="11"/>
  <c r="DQ31" i="22"/>
  <c r="B310" i="11"/>
  <c r="DR31" i="22"/>
  <c r="C310" i="11"/>
  <c r="DS31" i="22"/>
  <c r="D310" i="11"/>
  <c r="DT31" i="22"/>
  <c r="E310" i="11"/>
  <c r="DU31" i="22"/>
  <c r="F310" i="11"/>
  <c r="DV31" i="22"/>
  <c r="DW31" i="22"/>
  <c r="DX31" i="22"/>
  <c r="DY31" i="22"/>
  <c r="DZ31" i="22"/>
  <c r="A311" i="11"/>
  <c r="EA31" i="22"/>
  <c r="B311" i="11"/>
  <c r="EB31" i="22"/>
  <c r="C311" i="11"/>
  <c r="EC31" i="22"/>
  <c r="D311" i="11"/>
  <c r="ED31" i="22"/>
  <c r="E311" i="11"/>
  <c r="EE31" i="22"/>
  <c r="F311" i="11"/>
  <c r="EF31" i="22"/>
  <c r="EG31" i="22"/>
  <c r="EH31" i="22"/>
  <c r="EI31" i="22"/>
  <c r="EJ31" i="22"/>
  <c r="A312" i="11"/>
  <c r="EK31" i="22"/>
  <c r="B312" i="11"/>
  <c r="EL31" i="22"/>
  <c r="C312" i="11"/>
  <c r="EM31" i="22"/>
  <c r="D312" i="11"/>
  <c r="EN31" i="22"/>
  <c r="E312" i="11"/>
  <c r="EO31" i="22"/>
  <c r="F312" i="11"/>
  <c r="EP31" i="22"/>
  <c r="EQ31" i="22"/>
  <c r="ER31" i="22"/>
  <c r="ES31" i="22"/>
  <c r="ET31" i="22"/>
  <c r="A313" i="11"/>
  <c r="EU31" i="22"/>
  <c r="B313" i="11"/>
  <c r="EV31" i="22"/>
  <c r="C313" i="11"/>
  <c r="EW31" i="22"/>
  <c r="D313" i="11"/>
  <c r="EX31" i="22"/>
  <c r="E313" i="11"/>
  <c r="EY31" i="22"/>
  <c r="F313" i="11"/>
  <c r="EZ31" i="22"/>
  <c r="FA31" i="22"/>
  <c r="FB31" i="22"/>
  <c r="FC31" i="22"/>
  <c r="FD31" i="22"/>
  <c r="FE31" i="22"/>
  <c r="FF31" i="22"/>
  <c r="FG31" i="22"/>
  <c r="FH31" i="22"/>
  <c r="FI31" i="22"/>
  <c r="FJ31" i="22"/>
  <c r="FK31" i="22"/>
  <c r="FL31" i="22"/>
  <c r="FM31" i="22"/>
  <c r="FN31" i="22"/>
  <c r="FO31" i="22"/>
  <c r="FP31" i="22"/>
  <c r="FQ31" i="22"/>
  <c r="FR31" i="22"/>
  <c r="FS31" i="22"/>
  <c r="FT31" i="22"/>
  <c r="FU31" i="22"/>
  <c r="FV31" i="22"/>
  <c r="FW31" i="22"/>
  <c r="FX31" i="22"/>
  <c r="A314" i="11"/>
  <c r="FY31" i="22"/>
  <c r="B314" i="11"/>
  <c r="FZ31" i="22"/>
  <c r="C314" i="11"/>
  <c r="GA31" i="22"/>
  <c r="D314" i="11"/>
  <c r="GB31" i="22"/>
  <c r="E314" i="11"/>
  <c r="GC31" i="22"/>
  <c r="F314" i="11"/>
  <c r="GD31" i="22"/>
  <c r="GE31" i="22"/>
  <c r="GF31" i="22"/>
  <c r="GG31" i="22"/>
  <c r="GH31" i="22"/>
  <c r="A315" i="11"/>
  <c r="GI31" i="22"/>
  <c r="B315" i="11"/>
  <c r="GJ31" i="22"/>
  <c r="C315" i="11"/>
  <c r="GK31" i="22"/>
  <c r="D315" i="11"/>
  <c r="GL31" i="22"/>
  <c r="E315" i="11"/>
  <c r="GM31" i="22"/>
  <c r="F315" i="11"/>
  <c r="GN31" i="22"/>
  <c r="GO31" i="22"/>
  <c r="GP31" i="22"/>
  <c r="GQ31" i="22"/>
  <c r="GR31" i="22"/>
  <c r="A316" i="11"/>
  <c r="GS31" i="22"/>
  <c r="B316" i="11"/>
  <c r="GT31" i="22"/>
  <c r="C316" i="11"/>
  <c r="GU31" i="22"/>
  <c r="D316" i="11"/>
  <c r="GV31" i="22"/>
  <c r="E316" i="11"/>
  <c r="GW31" i="22"/>
  <c r="F316" i="11"/>
  <c r="GX31" i="22"/>
  <c r="GY31" i="22"/>
  <c r="GZ31" i="22"/>
  <c r="HA31" i="22"/>
  <c r="HB31" i="22"/>
  <c r="A317" i="11"/>
  <c r="HC31" i="22"/>
  <c r="B317" i="11"/>
  <c r="HD31" i="22"/>
  <c r="C317" i="11"/>
  <c r="HE31" i="22"/>
  <c r="D317" i="11"/>
  <c r="HF31" i="22"/>
  <c r="E317" i="11"/>
  <c r="HG31" i="22"/>
  <c r="F317" i="11"/>
  <c r="HH31" i="22"/>
  <c r="HI31" i="22"/>
  <c r="HJ31" i="22"/>
  <c r="HK31" i="22"/>
  <c r="HL31" i="22"/>
  <c r="A318" i="11"/>
  <c r="HM31" i="22"/>
  <c r="B318" i="11"/>
  <c r="HN31" i="22"/>
  <c r="C318" i="11"/>
  <c r="HO31" i="22"/>
  <c r="D318" i="11"/>
  <c r="HP31" i="22"/>
  <c r="E318" i="11"/>
  <c r="HQ31" i="22"/>
  <c r="F318" i="11"/>
  <c r="HR31" i="22"/>
  <c r="HS31" i="22"/>
  <c r="HT31" i="22"/>
  <c r="HU31" i="22"/>
  <c r="HV31" i="22"/>
  <c r="A319" i="11"/>
  <c r="HW31" i="22"/>
  <c r="B319" i="11"/>
  <c r="HX31" i="22"/>
  <c r="C319" i="11"/>
  <c r="HY31" i="22"/>
  <c r="D319" i="11"/>
  <c r="HZ31" i="22"/>
  <c r="E319" i="11"/>
  <c r="IA31" i="22"/>
  <c r="F319" i="11"/>
  <c r="IB31" i="22"/>
  <c r="IC31" i="22"/>
  <c r="ID31" i="22"/>
  <c r="IE31" i="22"/>
  <c r="IF31" i="22"/>
  <c r="A320" i="11"/>
  <c r="IG31" i="22"/>
  <c r="B320" i="11"/>
  <c r="IH31" i="22"/>
  <c r="C320" i="11"/>
  <c r="II31" i="22"/>
  <c r="D320" i="11"/>
  <c r="IJ31" i="22"/>
  <c r="E320" i="11"/>
  <c r="IK31" i="22"/>
  <c r="F320" i="11"/>
  <c r="IL31" i="22"/>
  <c r="IM31" i="22"/>
  <c r="IN31" i="22"/>
  <c r="IO31" i="22"/>
  <c r="IP31" i="22"/>
  <c r="A321" i="11"/>
  <c r="IQ31" i="22"/>
  <c r="B321" i="11"/>
  <c r="IR31" i="22"/>
  <c r="C321" i="11"/>
  <c r="IS31" i="22"/>
  <c r="D321" i="11"/>
  <c r="IT31" i="22"/>
  <c r="E321" i="11"/>
  <c r="IU31" i="22"/>
  <c r="F321" i="11"/>
  <c r="IV31" i="22"/>
  <c r="E218" i="11"/>
  <c r="A30" i="22"/>
  <c r="B30" i="22"/>
  <c r="C30" i="22"/>
  <c r="D30" i="22"/>
  <c r="E30" i="22"/>
  <c r="F30" i="22"/>
  <c r="A219" i="11"/>
  <c r="G30" i="22"/>
  <c r="B219" i="11"/>
  <c r="H30" i="22"/>
  <c r="C219" i="11"/>
  <c r="I30" i="22"/>
  <c r="D219" i="11"/>
  <c r="J30" i="22"/>
  <c r="E219" i="11"/>
  <c r="K30" i="22"/>
  <c r="L30" i="22"/>
  <c r="M30" i="22"/>
  <c r="N30" i="22"/>
  <c r="O30" i="22"/>
  <c r="P30" i="22"/>
  <c r="A220" i="11"/>
  <c r="Q30" i="22"/>
  <c r="B220" i="11"/>
  <c r="R30" i="22"/>
  <c r="C220" i="11"/>
  <c r="S30" i="22"/>
  <c r="D220" i="11"/>
  <c r="T30" i="22"/>
  <c r="E220" i="11"/>
  <c r="U30" i="22"/>
  <c r="V30" i="22"/>
  <c r="W30" i="22"/>
  <c r="X30" i="22"/>
  <c r="Y30" i="22"/>
  <c r="Z30" i="22"/>
  <c r="A221" i="11"/>
  <c r="AA30" i="22"/>
  <c r="B221" i="11"/>
  <c r="AB30" i="22"/>
  <c r="C221" i="11"/>
  <c r="AC30" i="22"/>
  <c r="D221" i="11"/>
  <c r="AD30" i="22"/>
  <c r="E221" i="11"/>
  <c r="AE30" i="22"/>
  <c r="AF30" i="22"/>
  <c r="AG30" i="22"/>
  <c r="AH30" i="22"/>
  <c r="AI30" i="22"/>
  <c r="AJ30" i="22"/>
  <c r="A282" i="11"/>
  <c r="AK30" i="22"/>
  <c r="B282" i="11"/>
  <c r="AL30" i="22"/>
  <c r="C282" i="11"/>
  <c r="AM30" i="22"/>
  <c r="D282" i="11"/>
  <c r="AN30" i="22"/>
  <c r="E282" i="11"/>
  <c r="AO30" i="22"/>
  <c r="F282" i="11"/>
  <c r="AP30" i="22"/>
  <c r="AQ30" i="22"/>
  <c r="AR30" i="22"/>
  <c r="AS30" i="22"/>
  <c r="AT30" i="22"/>
  <c r="A283" i="11"/>
  <c r="AU30" i="22"/>
  <c r="B283" i="11"/>
  <c r="AV30" i="22"/>
  <c r="C283" i="11"/>
  <c r="AW30" i="22"/>
  <c r="D283" i="11"/>
  <c r="AX30" i="22"/>
  <c r="E283" i="11"/>
  <c r="AY30" i="22"/>
  <c r="F283" i="11"/>
  <c r="AZ30" i="22"/>
  <c r="BA30" i="22"/>
  <c r="BB30" i="22"/>
  <c r="BC30" i="22"/>
  <c r="BD30" i="22"/>
  <c r="A284" i="11"/>
  <c r="BE30" i="22"/>
  <c r="B284" i="11"/>
  <c r="BF30" i="22"/>
  <c r="C284" i="11"/>
  <c r="BG30" i="22"/>
  <c r="D284" i="11"/>
  <c r="BH30" i="22"/>
  <c r="E284" i="11"/>
  <c r="BI30" i="22"/>
  <c r="F284" i="11"/>
  <c r="BJ30" i="22"/>
  <c r="BK30" i="22"/>
  <c r="BL30" i="22"/>
  <c r="BM30" i="22"/>
  <c r="BN30" i="22"/>
  <c r="A285" i="11"/>
  <c r="BO30" i="22"/>
  <c r="B285" i="11"/>
  <c r="BP30" i="22"/>
  <c r="C285" i="11"/>
  <c r="BQ30" i="22"/>
  <c r="D285" i="11"/>
  <c r="BR30" i="22"/>
  <c r="E285" i="11"/>
  <c r="BS30" i="22"/>
  <c r="F285" i="11"/>
  <c r="BT30" i="22"/>
  <c r="BU30" i="22"/>
  <c r="BV30" i="22"/>
  <c r="BW30" i="22"/>
  <c r="BX30" i="22"/>
  <c r="A286" i="11"/>
  <c r="BY30" i="22"/>
  <c r="B286" i="11"/>
  <c r="BZ30" i="22"/>
  <c r="C286" i="11"/>
  <c r="CA30" i="22"/>
  <c r="D286" i="11"/>
  <c r="CB30" i="22"/>
  <c r="E286" i="11"/>
  <c r="CC30" i="22"/>
  <c r="F286" i="11"/>
  <c r="CD30" i="22"/>
  <c r="CE30" i="22"/>
  <c r="CF30" i="22"/>
  <c r="CG30" i="22"/>
  <c r="CH30" i="22"/>
  <c r="A287" i="11"/>
  <c r="CI30" i="22"/>
  <c r="B287" i="11"/>
  <c r="CJ30" i="22"/>
  <c r="C287" i="11"/>
  <c r="CK30" i="22"/>
  <c r="D287" i="11"/>
  <c r="CL30" i="22"/>
  <c r="E287" i="11"/>
  <c r="CM30" i="22"/>
  <c r="F287" i="11"/>
  <c r="CN30" i="22"/>
  <c r="CO30" i="22"/>
  <c r="CP30" i="22"/>
  <c r="CQ30" i="22"/>
  <c r="CR30" i="22"/>
  <c r="A288" i="11"/>
  <c r="CS30" i="22"/>
  <c r="B288" i="11"/>
  <c r="CT30" i="22"/>
  <c r="C288" i="11"/>
  <c r="CU30" i="22"/>
  <c r="D288" i="11"/>
  <c r="CV30" i="22"/>
  <c r="E288" i="11"/>
  <c r="CW30" i="22"/>
  <c r="F288" i="11"/>
  <c r="CX30" i="22"/>
  <c r="CY30" i="22"/>
  <c r="CZ30" i="22"/>
  <c r="DA30" i="22"/>
  <c r="DB30" i="22"/>
  <c r="A289" i="11"/>
  <c r="DC30" i="22"/>
  <c r="B289" i="11"/>
  <c r="DD30" i="22"/>
  <c r="C289" i="11"/>
  <c r="DE30" i="22"/>
  <c r="D289" i="11"/>
  <c r="DF30" i="22"/>
  <c r="E289" i="11"/>
  <c r="DG30" i="22"/>
  <c r="F289" i="11"/>
  <c r="DH30" i="22"/>
  <c r="DI30" i="22"/>
  <c r="DJ30" i="22"/>
  <c r="DK30" i="22"/>
  <c r="DL30" i="22"/>
  <c r="DM30" i="22"/>
  <c r="DN30" i="22"/>
  <c r="DO30" i="22"/>
  <c r="DP30" i="22"/>
  <c r="DQ30" i="22"/>
  <c r="DR30" i="22"/>
  <c r="DS30" i="22"/>
  <c r="DT30" i="22"/>
  <c r="DU30" i="22"/>
  <c r="DV30" i="22"/>
  <c r="DW30" i="22"/>
  <c r="DX30" i="22"/>
  <c r="DY30" i="22"/>
  <c r="DZ30" i="22"/>
  <c r="EA30" i="22"/>
  <c r="EB30" i="22"/>
  <c r="EC30" i="22"/>
  <c r="ED30" i="22"/>
  <c r="EE30" i="22"/>
  <c r="EF30" i="22"/>
  <c r="A290" i="11"/>
  <c r="EG30" i="22"/>
  <c r="B290" i="11"/>
  <c r="EH30" i="22"/>
  <c r="C290" i="11"/>
  <c r="EI30" i="22"/>
  <c r="D290" i="11"/>
  <c r="EJ30" i="22"/>
  <c r="E290" i="11"/>
  <c r="EK30" i="22"/>
  <c r="F290" i="11"/>
  <c r="EL30" i="22"/>
  <c r="EM30" i="22"/>
  <c r="EN30" i="22"/>
  <c r="EO30" i="22"/>
  <c r="EP30" i="22"/>
  <c r="A291" i="11"/>
  <c r="EQ30" i="22"/>
  <c r="B291" i="11"/>
  <c r="ER30" i="22"/>
  <c r="C291" i="11"/>
  <c r="ES30" i="22"/>
  <c r="D291" i="11"/>
  <c r="ET30" i="22"/>
  <c r="E291" i="11"/>
  <c r="EU30" i="22"/>
  <c r="F291" i="11"/>
  <c r="EV30" i="22"/>
  <c r="EW30" i="22"/>
  <c r="EX30" i="22"/>
  <c r="EY30" i="22"/>
  <c r="EZ30" i="22"/>
  <c r="A292" i="11"/>
  <c r="FA30" i="22"/>
  <c r="B292" i="11"/>
  <c r="FB30" i="22"/>
  <c r="C292" i="11"/>
  <c r="FC30" i="22"/>
  <c r="D292" i="11"/>
  <c r="FD30" i="22"/>
  <c r="E292" i="11"/>
  <c r="FE30" i="22"/>
  <c r="F292" i="11"/>
  <c r="FF30" i="22"/>
  <c r="FG30" i="22"/>
  <c r="FH30" i="22"/>
  <c r="FI30" i="22"/>
  <c r="FJ30" i="22"/>
  <c r="A293" i="11"/>
  <c r="FK30" i="22"/>
  <c r="B293" i="11"/>
  <c r="FL30" i="22"/>
  <c r="C293" i="11"/>
  <c r="FM30" i="22"/>
  <c r="D293" i="11"/>
  <c r="FN30" i="22"/>
  <c r="E293" i="11"/>
  <c r="FO30" i="22"/>
  <c r="F293" i="11"/>
  <c r="FP30" i="22"/>
  <c r="FQ30" i="22"/>
  <c r="FR30" i="22"/>
  <c r="FS30" i="22"/>
  <c r="FT30" i="22"/>
  <c r="A294" i="11"/>
  <c r="FU30" i="22"/>
  <c r="B294" i="11"/>
  <c r="FV30" i="22"/>
  <c r="C294" i="11"/>
  <c r="FW30" i="22"/>
  <c r="D294" i="11"/>
  <c r="FX30" i="22"/>
  <c r="E294" i="11"/>
  <c r="FY30" i="22"/>
  <c r="F294" i="11"/>
  <c r="FZ30" i="22"/>
  <c r="GA30" i="22"/>
  <c r="GB30" i="22"/>
  <c r="GC30" i="22"/>
  <c r="GD30" i="22"/>
  <c r="A295" i="11"/>
  <c r="GE30" i="22"/>
  <c r="B295" i="11"/>
  <c r="GF30" i="22"/>
  <c r="C295" i="11"/>
  <c r="GG30" i="22"/>
  <c r="D295" i="11"/>
  <c r="GH30" i="22"/>
  <c r="E295" i="11"/>
  <c r="GI30" i="22"/>
  <c r="F295" i="11"/>
  <c r="GJ30" i="22"/>
  <c r="GK30" i="22"/>
  <c r="GL30" i="22"/>
  <c r="GM30" i="22"/>
  <c r="GN30" i="22"/>
  <c r="A296" i="11"/>
  <c r="GO30" i="22"/>
  <c r="B296" i="11"/>
  <c r="GP30" i="22"/>
  <c r="C296" i="11"/>
  <c r="GQ30" i="22"/>
  <c r="D296" i="11"/>
  <c r="GR30" i="22"/>
  <c r="E296" i="11"/>
  <c r="GS30" i="22"/>
  <c r="F296" i="11"/>
  <c r="GT30" i="22"/>
  <c r="GU30" i="22"/>
  <c r="GV30" i="22"/>
  <c r="GW30" i="22"/>
  <c r="GX30" i="22"/>
  <c r="A297" i="11"/>
  <c r="GY30" i="22"/>
  <c r="B297" i="11"/>
  <c r="GZ30" i="22"/>
  <c r="C297" i="11"/>
  <c r="HA30" i="22"/>
  <c r="D297" i="11"/>
  <c r="HB30" i="22"/>
  <c r="E297" i="11"/>
  <c r="HC30" i="22"/>
  <c r="F297" i="11"/>
  <c r="HD30" i="22"/>
  <c r="HE30" i="22"/>
  <c r="HF30" i="22"/>
  <c r="HG30" i="22"/>
  <c r="HH30" i="22"/>
  <c r="HI30" i="22"/>
  <c r="HJ30" i="22"/>
  <c r="HK30" i="22"/>
  <c r="HL30" i="22"/>
  <c r="HM30" i="22"/>
  <c r="HN30" i="22"/>
  <c r="HO30" i="22"/>
  <c r="HP30" i="22"/>
  <c r="HQ30" i="22"/>
  <c r="HR30" i="22"/>
  <c r="HS30" i="22"/>
  <c r="HT30" i="22"/>
  <c r="HU30" i="22"/>
  <c r="HV30" i="22"/>
  <c r="HW30" i="22"/>
  <c r="HX30" i="22"/>
  <c r="HY30" i="22"/>
  <c r="HZ30" i="22"/>
  <c r="IA30" i="22"/>
  <c r="IB30" i="22"/>
  <c r="A298" i="11"/>
  <c r="IC30" i="22"/>
  <c r="B298" i="11"/>
  <c r="ID30" i="22"/>
  <c r="C298" i="11"/>
  <c r="IE30" i="22"/>
  <c r="D298" i="11"/>
  <c r="IF30" i="22"/>
  <c r="E298" i="11"/>
  <c r="IG30" i="22"/>
  <c r="F298" i="11"/>
  <c r="IH30" i="22"/>
  <c r="II30" i="22"/>
  <c r="IJ30" i="22"/>
  <c r="IK30" i="22"/>
  <c r="IL30" i="22"/>
  <c r="A299" i="11"/>
  <c r="IM30" i="22"/>
  <c r="B299" i="11"/>
  <c r="IN30" i="22"/>
  <c r="C299" i="11"/>
  <c r="IO30" i="22"/>
  <c r="D299" i="11"/>
  <c r="IP30" i="22"/>
  <c r="E299" i="11"/>
  <c r="IQ30" i="22"/>
  <c r="F299" i="11"/>
  <c r="IR30" i="22"/>
  <c r="IS30" i="22"/>
  <c r="IT30" i="22"/>
  <c r="IU30" i="22"/>
  <c r="IV30" i="22"/>
  <c r="A29" i="22"/>
  <c r="A195" i="11"/>
  <c r="C29" i="22"/>
  <c r="B195" i="11"/>
  <c r="D29" i="22"/>
  <c r="C195" i="11"/>
  <c r="E29" i="22"/>
  <c r="D195" i="11"/>
  <c r="F29" i="22"/>
  <c r="E195" i="11"/>
  <c r="G29" i="22"/>
  <c r="H29" i="22"/>
  <c r="I29" i="22"/>
  <c r="J29" i="22"/>
  <c r="K29" i="22"/>
  <c r="L29" i="22"/>
  <c r="A196" i="11"/>
  <c r="M29" i="22"/>
  <c r="B196" i="11"/>
  <c r="N29" i="22"/>
  <c r="C196" i="11"/>
  <c r="O29" i="22"/>
  <c r="D196" i="11"/>
  <c r="P29" i="22"/>
  <c r="E196" i="11"/>
  <c r="Q29" i="22"/>
  <c r="R29" i="22"/>
  <c r="S29" i="22"/>
  <c r="T29" i="22"/>
  <c r="U29" i="22"/>
  <c r="V29" i="22"/>
  <c r="A197" i="11"/>
  <c r="W29" i="22"/>
  <c r="B197" i="11"/>
  <c r="X29" i="22"/>
  <c r="C197" i="11"/>
  <c r="Y29" i="22"/>
  <c r="D197" i="11"/>
  <c r="Z29" i="22"/>
  <c r="E197" i="11"/>
  <c r="AA29" i="22"/>
  <c r="AB29" i="22"/>
  <c r="AC29" i="22"/>
  <c r="AD29" i="22"/>
  <c r="AE29" i="22"/>
  <c r="AF29" i="22"/>
  <c r="A198" i="11"/>
  <c r="AG29" i="22"/>
  <c r="B198" i="11"/>
  <c r="AH29" i="22"/>
  <c r="C198" i="11"/>
  <c r="AI29" i="22"/>
  <c r="D198" i="11"/>
  <c r="AJ29" i="22"/>
  <c r="E198" i="11"/>
  <c r="AK29" i="22"/>
  <c r="AL29" i="22"/>
  <c r="AM29" i="22"/>
  <c r="AN29" i="22"/>
  <c r="AO29" i="22"/>
  <c r="AP29" i="22"/>
  <c r="A199" i="11"/>
  <c r="AQ29" i="22"/>
  <c r="B199" i="11"/>
  <c r="AR29" i="22"/>
  <c r="C199" i="11"/>
  <c r="AS29" i="22"/>
  <c r="D199" i="11"/>
  <c r="AT29" i="22"/>
  <c r="E199" i="11"/>
  <c r="AU29" i="22"/>
  <c r="AV29" i="22"/>
  <c r="AW29" i="22"/>
  <c r="AX29" i="22"/>
  <c r="AY29" i="22"/>
  <c r="AZ29" i="22"/>
  <c r="A200" i="11"/>
  <c r="BA29" i="22"/>
  <c r="B200" i="11"/>
  <c r="BB29" i="22"/>
  <c r="C200" i="11"/>
  <c r="BC29" i="22"/>
  <c r="D200" i="11"/>
  <c r="BD29" i="22"/>
  <c r="E200" i="11"/>
  <c r="BE29" i="22"/>
  <c r="BF29" i="22"/>
  <c r="BG29" i="22"/>
  <c r="BH29" i="22"/>
  <c r="BI29" i="22"/>
  <c r="BJ29" i="22"/>
  <c r="A201" i="11"/>
  <c r="BK29" i="22"/>
  <c r="B201" i="11"/>
  <c r="BL29" i="22"/>
  <c r="C201" i="11"/>
  <c r="BM29" i="22"/>
  <c r="D201" i="11"/>
  <c r="BN29" i="22"/>
  <c r="E201" i="11"/>
  <c r="BO29" i="22"/>
  <c r="BP29" i="22"/>
  <c r="BQ29" i="22"/>
  <c r="BR29" i="22"/>
  <c r="BS29" i="22"/>
  <c r="BT29" i="22"/>
  <c r="BU29" i="22"/>
  <c r="BV29" i="22"/>
  <c r="BW29" i="22"/>
  <c r="BX29" i="22"/>
  <c r="BY29" i="22"/>
  <c r="BZ29" i="22"/>
  <c r="CA29" i="22"/>
  <c r="CB29" i="22"/>
  <c r="CC29" i="22"/>
  <c r="CD29" i="22"/>
  <c r="CE29" i="22"/>
  <c r="CF29" i="22"/>
  <c r="CG29" i="22"/>
  <c r="CH29" i="22"/>
  <c r="CI29" i="22"/>
  <c r="CJ29" i="22"/>
  <c r="CK29" i="22"/>
  <c r="CL29" i="22"/>
  <c r="CM29" i="22"/>
  <c r="CN29" i="22"/>
  <c r="A202" i="11"/>
  <c r="CO29" i="22"/>
  <c r="B202" i="11"/>
  <c r="CP29" i="22"/>
  <c r="C202" i="11"/>
  <c r="CQ29" i="22"/>
  <c r="D202" i="11"/>
  <c r="CR29" i="22"/>
  <c r="E202" i="11"/>
  <c r="CS29" i="22"/>
  <c r="CT29" i="22"/>
  <c r="CU29" i="22"/>
  <c r="CV29" i="22"/>
  <c r="CW29" i="22"/>
  <c r="CX29" i="22"/>
  <c r="A203" i="11"/>
  <c r="CY29" i="22"/>
  <c r="B203" i="11"/>
  <c r="CZ29" i="22"/>
  <c r="C203" i="11"/>
  <c r="DA29" i="22"/>
  <c r="D203" i="11"/>
  <c r="DB29" i="22"/>
  <c r="E203" i="11"/>
  <c r="DC29" i="22"/>
  <c r="DD29" i="22"/>
  <c r="DE29" i="22"/>
  <c r="DF29" i="22"/>
  <c r="DG29" i="22"/>
  <c r="DH29" i="22"/>
  <c r="A204" i="11"/>
  <c r="DI29" i="22"/>
  <c r="B204" i="11"/>
  <c r="DJ29" i="22"/>
  <c r="C204" i="11"/>
  <c r="DK29" i="22"/>
  <c r="D204" i="11"/>
  <c r="DL29" i="22"/>
  <c r="E204" i="11"/>
  <c r="DM29" i="22"/>
  <c r="DN29" i="22"/>
  <c r="DO29" i="22"/>
  <c r="DP29" i="22"/>
  <c r="DQ29" i="22"/>
  <c r="DR29" i="22"/>
  <c r="A205" i="11"/>
  <c r="DS29" i="22"/>
  <c r="B205" i="11"/>
  <c r="DT29" i="22"/>
  <c r="C205" i="11"/>
  <c r="DU29" i="22"/>
  <c r="D205" i="11"/>
  <c r="DV29" i="22"/>
  <c r="E205" i="11"/>
  <c r="DW29" i="22"/>
  <c r="DX29" i="22"/>
  <c r="DY29" i="22"/>
  <c r="DZ29" i="22"/>
  <c r="EA29" i="22"/>
  <c r="EB29" i="22"/>
  <c r="A206" i="11"/>
  <c r="EC29" i="22"/>
  <c r="B206" i="11"/>
  <c r="ED29" i="22"/>
  <c r="C206" i="11"/>
  <c r="EE29" i="22"/>
  <c r="D206" i="11"/>
  <c r="EF29" i="22"/>
  <c r="E206" i="11"/>
  <c r="EG29" i="22"/>
  <c r="EH29" i="22"/>
  <c r="EI29" i="22"/>
  <c r="EJ29" i="22"/>
  <c r="EK29" i="22"/>
  <c r="EL29" i="22"/>
  <c r="A207" i="11"/>
  <c r="EM29" i="22"/>
  <c r="B207" i="11"/>
  <c r="EN29" i="22"/>
  <c r="C207" i="11"/>
  <c r="EO29" i="22"/>
  <c r="D207" i="11"/>
  <c r="EP29" i="22"/>
  <c r="E207" i="11"/>
  <c r="EQ29" i="22"/>
  <c r="ER29" i="22"/>
  <c r="ES29" i="22"/>
  <c r="ET29" i="22"/>
  <c r="EU29" i="22"/>
  <c r="EV29" i="22"/>
  <c r="A208" i="11"/>
  <c r="EW29" i="22"/>
  <c r="B208" i="11"/>
  <c r="EX29" i="22"/>
  <c r="C208" i="11"/>
  <c r="EY29" i="22"/>
  <c r="D208" i="11"/>
  <c r="EZ29" i="22"/>
  <c r="E208" i="11"/>
  <c r="FA29" i="22"/>
  <c r="FB29" i="22"/>
  <c r="FC29" i="22"/>
  <c r="FD29" i="22"/>
  <c r="FE29" i="22"/>
  <c r="FF29" i="22"/>
  <c r="A209" i="11"/>
  <c r="FG29" i="22"/>
  <c r="B209" i="11"/>
  <c r="FH29" i="22"/>
  <c r="C209" i="11"/>
  <c r="FI29" i="22"/>
  <c r="D209" i="11"/>
  <c r="FJ29" i="22"/>
  <c r="E209" i="11"/>
  <c r="FK29" i="22"/>
  <c r="FL29" i="22"/>
  <c r="FM29" i="22"/>
  <c r="FN29" i="22"/>
  <c r="FO29" i="22"/>
  <c r="FP29" i="22"/>
  <c r="A210" i="11"/>
  <c r="FQ29" i="22"/>
  <c r="B210" i="11"/>
  <c r="FR29" i="22"/>
  <c r="C210" i="11"/>
  <c r="FS29" i="22"/>
  <c r="D210" i="11"/>
  <c r="FT29" i="22"/>
  <c r="E210" i="11"/>
  <c r="FU29" i="22"/>
  <c r="FV29" i="22"/>
  <c r="FW29" i="22"/>
  <c r="FX29" i="22"/>
  <c r="FY29" i="22"/>
  <c r="FZ29" i="22"/>
  <c r="A211" i="11"/>
  <c r="GA29" i="22"/>
  <c r="B211" i="11"/>
  <c r="GB29" i="22"/>
  <c r="C211" i="11"/>
  <c r="GC29" i="22"/>
  <c r="D211" i="11"/>
  <c r="GD29" i="22"/>
  <c r="E211" i="11"/>
  <c r="GE29" i="22"/>
  <c r="GF29" i="22"/>
  <c r="GG29" i="22"/>
  <c r="GH29" i="22"/>
  <c r="GI29" i="22"/>
  <c r="GJ29" i="22"/>
  <c r="A212" i="11"/>
  <c r="GK29" i="22"/>
  <c r="B212" i="11"/>
  <c r="GL29" i="22"/>
  <c r="C212" i="11"/>
  <c r="GM29" i="22"/>
  <c r="D212" i="11"/>
  <c r="GN29" i="22"/>
  <c r="E212" i="11"/>
  <c r="GO29" i="22"/>
  <c r="GP29" i="22"/>
  <c r="GQ29" i="22"/>
  <c r="GR29" i="22"/>
  <c r="GS29" i="22"/>
  <c r="GT29" i="22"/>
  <c r="A213" i="11"/>
  <c r="GU29" i="22"/>
  <c r="B213" i="11"/>
  <c r="GV29" i="22"/>
  <c r="C213" i="11"/>
  <c r="GW29" i="22"/>
  <c r="D213" i="11"/>
  <c r="GX29" i="22"/>
  <c r="E213" i="11"/>
  <c r="GY29" i="22"/>
  <c r="GZ29" i="22"/>
  <c r="HA29" i="22"/>
  <c r="HB29" i="22"/>
  <c r="HC29" i="22"/>
  <c r="HD29" i="22"/>
  <c r="A214" i="11"/>
  <c r="HE29" i="22"/>
  <c r="B214" i="11"/>
  <c r="HF29" i="22"/>
  <c r="C214" i="11"/>
  <c r="HG29" i="22"/>
  <c r="D214" i="11"/>
  <c r="HH29" i="22"/>
  <c r="E214" i="11"/>
  <c r="HI29" i="22"/>
  <c r="HJ29" i="22"/>
  <c r="HK29" i="22"/>
  <c r="HL29" i="22"/>
  <c r="HM29" i="22"/>
  <c r="HN29" i="22"/>
  <c r="A215" i="11"/>
  <c r="HO29" i="22"/>
  <c r="B215" i="11"/>
  <c r="HP29" i="22"/>
  <c r="C215" i="11"/>
  <c r="HQ29" i="22"/>
  <c r="D215" i="11"/>
  <c r="HR29" i="22"/>
  <c r="E215" i="11"/>
  <c r="HS29" i="22"/>
  <c r="HT29" i="22"/>
  <c r="HU29" i="22"/>
  <c r="HV29" i="22"/>
  <c r="HW29" i="22"/>
  <c r="HX29" i="22"/>
  <c r="A216" i="11"/>
  <c r="HY29" i="22"/>
  <c r="B216" i="11"/>
  <c r="HZ29" i="22"/>
  <c r="C216" i="11"/>
  <c r="IA29" i="22"/>
  <c r="D216" i="11"/>
  <c r="IB29" i="22"/>
  <c r="E216" i="11"/>
  <c r="IC29" i="22"/>
  <c r="ID29" i="22"/>
  <c r="IE29" i="22"/>
  <c r="IF29" i="22"/>
  <c r="IG29" i="22"/>
  <c r="IH29" i="22"/>
  <c r="A217" i="11"/>
  <c r="II29" i="22"/>
  <c r="B217" i="11"/>
  <c r="IJ29" i="22"/>
  <c r="C217" i="11"/>
  <c r="IK29" i="22"/>
  <c r="D217" i="11"/>
  <c r="IL29" i="22"/>
  <c r="E217" i="11"/>
  <c r="IM29" i="22"/>
  <c r="IN29" i="22"/>
  <c r="IO29" i="22"/>
  <c r="IP29" i="22"/>
  <c r="IQ29" i="22"/>
  <c r="IR29" i="22"/>
  <c r="A218" i="11"/>
  <c r="IS29" i="22"/>
  <c r="B218" i="11"/>
  <c r="IT29" i="22"/>
  <c r="C218" i="11"/>
  <c r="IU29" i="22"/>
  <c r="D218" i="11"/>
  <c r="IV29" i="22"/>
  <c r="C171" i="11"/>
  <c r="A28" i="22"/>
  <c r="D171" i="11"/>
  <c r="B28" i="22"/>
  <c r="E171" i="11"/>
  <c r="C28" i="22"/>
  <c r="D28" i="22"/>
  <c r="E28" i="22"/>
  <c r="F28" i="22"/>
  <c r="G28" i="22"/>
  <c r="H28" i="22"/>
  <c r="A172" i="11"/>
  <c r="I28" i="22"/>
  <c r="B172" i="11"/>
  <c r="J28" i="22"/>
  <c r="C172" i="11"/>
  <c r="K28" i="22"/>
  <c r="D172" i="11"/>
  <c r="L28" i="22"/>
  <c r="E172" i="11"/>
  <c r="M28" i="22"/>
  <c r="N28" i="22"/>
  <c r="O28" i="22"/>
  <c r="P28" i="22"/>
  <c r="Q28" i="22"/>
  <c r="R28" i="22"/>
  <c r="A173" i="11"/>
  <c r="S28" i="22"/>
  <c r="B173" i="11"/>
  <c r="T28" i="22"/>
  <c r="C173" i="11"/>
  <c r="U28" i="22"/>
  <c r="D173" i="11"/>
  <c r="V28" i="22"/>
  <c r="E173" i="11"/>
  <c r="W28" i="22"/>
  <c r="X28" i="22"/>
  <c r="Y28" i="22"/>
  <c r="Z28" i="22"/>
  <c r="AA28" i="22"/>
  <c r="AB28" i="22"/>
  <c r="A174" i="11"/>
  <c r="AC28" i="22"/>
  <c r="B174" i="11"/>
  <c r="AD28" i="22"/>
  <c r="C174" i="11"/>
  <c r="AE28" i="22"/>
  <c r="D174" i="11"/>
  <c r="AF28" i="22"/>
  <c r="E174" i="11"/>
  <c r="AG28" i="22"/>
  <c r="AH28" i="22"/>
  <c r="AI28" i="22"/>
  <c r="AJ28" i="22"/>
  <c r="AK28" i="22"/>
  <c r="AL28" i="22"/>
  <c r="A175" i="11"/>
  <c r="AM28" i="22"/>
  <c r="B175" i="11"/>
  <c r="AN28" i="22"/>
  <c r="C175" i="11"/>
  <c r="AO28" i="22"/>
  <c r="D175" i="11"/>
  <c r="AP28" i="22"/>
  <c r="E175" i="11"/>
  <c r="AQ28" i="22"/>
  <c r="AR28" i="22"/>
  <c r="AS28" i="22"/>
  <c r="AT28" i="22"/>
  <c r="AU28" i="22"/>
  <c r="AV28" i="22"/>
  <c r="A176" i="11"/>
  <c r="AW28" i="22"/>
  <c r="B176" i="11"/>
  <c r="AX28" i="22"/>
  <c r="C176" i="11"/>
  <c r="AY28" i="22"/>
  <c r="D176" i="11"/>
  <c r="AZ28" i="22"/>
  <c r="E176" i="11"/>
  <c r="BA28" i="22"/>
  <c r="BB28" i="22"/>
  <c r="BC28" i="22"/>
  <c r="BD28" i="22"/>
  <c r="BE28" i="22"/>
  <c r="BF28" i="22"/>
  <c r="A177" i="11"/>
  <c r="BG28" i="22"/>
  <c r="B177" i="11"/>
  <c r="BH28" i="22"/>
  <c r="C177" i="11"/>
  <c r="BI28" i="22"/>
  <c r="D177" i="11"/>
  <c r="BJ28" i="22"/>
  <c r="E177" i="11"/>
  <c r="BK28" i="22"/>
  <c r="BL28" i="22"/>
  <c r="BM28" i="22"/>
  <c r="BN28" i="22"/>
  <c r="BO28" i="22"/>
  <c r="BP28" i="22"/>
  <c r="A178" i="11"/>
  <c r="BQ28" i="22"/>
  <c r="B178" i="11"/>
  <c r="BR28" i="22"/>
  <c r="C178" i="11"/>
  <c r="BS28" i="22"/>
  <c r="D178" i="11"/>
  <c r="BT28" i="22"/>
  <c r="E178" i="11"/>
  <c r="BU28" i="22"/>
  <c r="BV28" i="22"/>
  <c r="BW28" i="22"/>
  <c r="BX28" i="22"/>
  <c r="BY28" i="22"/>
  <c r="BZ28" i="22"/>
  <c r="A179" i="11"/>
  <c r="CA28" i="22"/>
  <c r="B179" i="11"/>
  <c r="CB28" i="22"/>
  <c r="C179" i="11"/>
  <c r="CC28" i="22"/>
  <c r="D179" i="11"/>
  <c r="CD28" i="22"/>
  <c r="E179" i="11"/>
  <c r="CE28" i="22"/>
  <c r="CF28" i="22"/>
  <c r="CG28" i="22"/>
  <c r="CH28" i="22"/>
  <c r="CI28" i="22"/>
  <c r="CJ28" i="22"/>
  <c r="A180" i="11"/>
  <c r="CK28" i="22"/>
  <c r="B180" i="11"/>
  <c r="CL28" i="22"/>
  <c r="C180" i="11"/>
  <c r="CM28" i="22"/>
  <c r="D180" i="11"/>
  <c r="CN28" i="22"/>
  <c r="E180" i="11"/>
  <c r="CO28" i="22"/>
  <c r="CP28" i="22"/>
  <c r="CQ28" i="22"/>
  <c r="CR28" i="22"/>
  <c r="CS28" i="22"/>
  <c r="CT28" i="22"/>
  <c r="A181" i="11"/>
  <c r="CU28" i="22"/>
  <c r="B181" i="11"/>
  <c r="CV28" i="22"/>
  <c r="C181" i="11"/>
  <c r="CW28" i="22"/>
  <c r="D181" i="11"/>
  <c r="CX28" i="22"/>
  <c r="E181" i="11"/>
  <c r="CY28" i="22"/>
  <c r="CZ28" i="22"/>
  <c r="DA28" i="22"/>
  <c r="DB28" i="22"/>
  <c r="DC28" i="22"/>
  <c r="DD28" i="22"/>
  <c r="DE28" i="22"/>
  <c r="DF28" i="22"/>
  <c r="DG28" i="22"/>
  <c r="DH28" i="22"/>
  <c r="DI28" i="22"/>
  <c r="DJ28" i="22"/>
  <c r="DK28" i="22"/>
  <c r="DL28" i="22"/>
  <c r="DM28" i="22"/>
  <c r="DN28" i="22"/>
  <c r="DO28" i="22"/>
  <c r="DP28" i="22"/>
  <c r="DQ28" i="22"/>
  <c r="DR28" i="22"/>
  <c r="DS28" i="22"/>
  <c r="DT28" i="22"/>
  <c r="DU28" i="22"/>
  <c r="DV28" i="22"/>
  <c r="DW28" i="22"/>
  <c r="DX28" i="22"/>
  <c r="A182" i="11"/>
  <c r="DY28" i="22"/>
  <c r="B182" i="11"/>
  <c r="DZ28" i="22"/>
  <c r="C182" i="11"/>
  <c r="EA28" i="22"/>
  <c r="D182" i="11"/>
  <c r="EB28" i="22"/>
  <c r="E182" i="11"/>
  <c r="EC28" i="22"/>
  <c r="ED28" i="22"/>
  <c r="EE28" i="22"/>
  <c r="EF28" i="22"/>
  <c r="EG28" i="22"/>
  <c r="EH28" i="22"/>
  <c r="A183" i="11"/>
  <c r="EI28" i="22"/>
  <c r="B183" i="11"/>
  <c r="EJ28" i="22"/>
  <c r="C183" i="11"/>
  <c r="EK28" i="22"/>
  <c r="D183" i="11"/>
  <c r="EL28" i="22"/>
  <c r="E183" i="11"/>
  <c r="EM28" i="22"/>
  <c r="EN28" i="22"/>
  <c r="EO28" i="22"/>
  <c r="EP28" i="22"/>
  <c r="EQ28" i="22"/>
  <c r="ER28" i="22"/>
  <c r="A184" i="11"/>
  <c r="ES28" i="22"/>
  <c r="B184" i="11"/>
  <c r="ET28" i="22"/>
  <c r="C184" i="11"/>
  <c r="EU28" i="22"/>
  <c r="D184" i="11"/>
  <c r="EV28" i="22"/>
  <c r="E184" i="11"/>
  <c r="EW28" i="22"/>
  <c r="EX28" i="22"/>
  <c r="EY28" i="22"/>
  <c r="EZ28" i="22"/>
  <c r="FA28" i="22"/>
  <c r="FB28" i="22"/>
  <c r="A185" i="11"/>
  <c r="FC28" i="22"/>
  <c r="B185" i="11"/>
  <c r="FD28" i="22"/>
  <c r="C185" i="11"/>
  <c r="FE28" i="22"/>
  <c r="D185" i="11"/>
  <c r="FF28" i="22"/>
  <c r="E185" i="11"/>
  <c r="FG28" i="22"/>
  <c r="FH28" i="22"/>
  <c r="FI28" i="22"/>
  <c r="FJ28" i="22"/>
  <c r="FK28" i="22"/>
  <c r="FL28" i="22"/>
  <c r="A186" i="11"/>
  <c r="FM28" i="22"/>
  <c r="B186" i="11"/>
  <c r="FN28" i="22"/>
  <c r="C186" i="11"/>
  <c r="FO28" i="22"/>
  <c r="D186" i="11"/>
  <c r="FP28" i="22"/>
  <c r="E186" i="11"/>
  <c r="FQ28" i="22"/>
  <c r="FR28" i="22"/>
  <c r="FS28" i="22"/>
  <c r="FT28" i="22"/>
  <c r="FU28" i="22"/>
  <c r="FV28" i="22"/>
  <c r="A187" i="11"/>
  <c r="FW28" i="22"/>
  <c r="B187" i="11"/>
  <c r="FX28" i="22"/>
  <c r="C187" i="11"/>
  <c r="FY28" i="22"/>
  <c r="D187" i="11"/>
  <c r="FZ28" i="22"/>
  <c r="E187" i="11"/>
  <c r="GA28" i="22"/>
  <c r="GB28" i="22"/>
  <c r="GC28" i="22"/>
  <c r="GD28" i="22"/>
  <c r="GE28" i="22"/>
  <c r="GF28" i="22"/>
  <c r="A188" i="11"/>
  <c r="GG28" i="22"/>
  <c r="B188" i="11"/>
  <c r="GH28" i="22"/>
  <c r="C188" i="11"/>
  <c r="GI28" i="22"/>
  <c r="D188" i="11"/>
  <c r="GJ28" i="22"/>
  <c r="E188" i="11"/>
  <c r="GK28" i="22"/>
  <c r="GL28" i="22"/>
  <c r="GM28" i="22"/>
  <c r="GN28" i="22"/>
  <c r="GO28" i="22"/>
  <c r="GP28" i="22"/>
  <c r="A189" i="11"/>
  <c r="GQ28" i="22"/>
  <c r="B189" i="11"/>
  <c r="GR28" i="22"/>
  <c r="C189" i="11"/>
  <c r="GS28" i="22"/>
  <c r="D189" i="11"/>
  <c r="GT28" i="22"/>
  <c r="E189" i="11"/>
  <c r="GU28" i="22"/>
  <c r="GV28" i="22"/>
  <c r="GW28" i="22"/>
  <c r="GX28" i="22"/>
  <c r="GY28" i="22"/>
  <c r="GZ28" i="22"/>
  <c r="A190" i="11"/>
  <c r="HA28" i="22"/>
  <c r="B190" i="11"/>
  <c r="HB28" i="22"/>
  <c r="C190" i="11"/>
  <c r="HC28" i="22"/>
  <c r="D190" i="11"/>
  <c r="HD28" i="22"/>
  <c r="E190" i="11"/>
  <c r="HE28" i="22"/>
  <c r="HF28" i="22"/>
  <c r="HG28" i="22"/>
  <c r="HH28" i="22"/>
  <c r="HI28" i="22"/>
  <c r="HJ28" i="22"/>
  <c r="A191" i="11"/>
  <c r="HK28" i="22"/>
  <c r="B191" i="11"/>
  <c r="HL28" i="22"/>
  <c r="C191" i="11"/>
  <c r="HM28" i="22"/>
  <c r="D191" i="11"/>
  <c r="HN28" i="22"/>
  <c r="E191" i="11"/>
  <c r="HO28" i="22"/>
  <c r="HP28" i="22"/>
  <c r="HQ28" i="22"/>
  <c r="HR28" i="22"/>
  <c r="HS28" i="22"/>
  <c r="HT28" i="22"/>
  <c r="A192" i="11"/>
  <c r="HU28" i="22"/>
  <c r="B192" i="11"/>
  <c r="HV28" i="22"/>
  <c r="C192" i="11"/>
  <c r="HW28" i="22"/>
  <c r="D192" i="11"/>
  <c r="HX28" i="22"/>
  <c r="E192" i="11"/>
  <c r="HY28" i="22"/>
  <c r="HZ28" i="22"/>
  <c r="IA28" i="22"/>
  <c r="IB28" i="22"/>
  <c r="IC28" i="22"/>
  <c r="ID28" i="22"/>
  <c r="A193" i="11"/>
  <c r="IE28" i="22"/>
  <c r="B193" i="11"/>
  <c r="IF28" i="22"/>
  <c r="C193" i="11"/>
  <c r="IG28" i="22"/>
  <c r="D193" i="11"/>
  <c r="IH28" i="22"/>
  <c r="E193" i="11"/>
  <c r="II28" i="22"/>
  <c r="IJ28" i="22"/>
  <c r="IK28" i="22"/>
  <c r="IL28" i="22"/>
  <c r="IM28" i="22"/>
  <c r="IN28" i="22"/>
  <c r="A194" i="11"/>
  <c r="IO28" i="22"/>
  <c r="B194" i="11"/>
  <c r="IP28" i="22"/>
  <c r="C194" i="11"/>
  <c r="IQ28" i="22"/>
  <c r="D194" i="11"/>
  <c r="IR28" i="22"/>
  <c r="E194" i="11"/>
  <c r="IS28" i="22"/>
  <c r="IT28" i="22"/>
  <c r="IU28" i="22"/>
  <c r="IV28" i="22"/>
  <c r="A27" i="22"/>
  <c r="B27" i="22"/>
  <c r="C27" i="22"/>
  <c r="E27" i="22"/>
  <c r="F27" i="22"/>
  <c r="G27" i="22"/>
  <c r="H27" i="22"/>
  <c r="I27" i="22"/>
  <c r="J27" i="22"/>
  <c r="K27" i="22"/>
  <c r="L27" i="22"/>
  <c r="M27" i="22"/>
  <c r="N27" i="22"/>
  <c r="O27" i="22"/>
  <c r="P27" i="22"/>
  <c r="Q27" i="22"/>
  <c r="R27" i="22"/>
  <c r="S27" i="22"/>
  <c r="T27" i="22"/>
  <c r="U27" i="22"/>
  <c r="V27" i="22"/>
  <c r="W27" i="22"/>
  <c r="X27" i="22"/>
  <c r="Y27" i="22"/>
  <c r="Z27" i="22"/>
  <c r="AA27" i="22"/>
  <c r="AB27" i="22"/>
  <c r="AC27" i="22"/>
  <c r="AD27" i="22"/>
  <c r="AE27" i="22"/>
  <c r="AF27" i="22"/>
  <c r="AG27" i="22"/>
  <c r="AH27" i="22"/>
  <c r="AI27" i="22"/>
  <c r="AJ27" i="22"/>
  <c r="AK27" i="22"/>
  <c r="AL27" i="22"/>
  <c r="AM27" i="22"/>
  <c r="AN27" i="22"/>
  <c r="AO27" i="22"/>
  <c r="AP27" i="22"/>
  <c r="AQ27" i="22"/>
  <c r="AR27" i="22"/>
  <c r="A152" i="11"/>
  <c r="AS27" i="22"/>
  <c r="B152" i="11"/>
  <c r="AT27" i="22"/>
  <c r="C152" i="11"/>
  <c r="AU27" i="22"/>
  <c r="D152" i="11"/>
  <c r="AV27" i="22"/>
  <c r="E152" i="11"/>
  <c r="AW27" i="22"/>
  <c r="AX27" i="22"/>
  <c r="AY27" i="22"/>
  <c r="AZ27" i="22"/>
  <c r="BA27" i="22"/>
  <c r="BB27" i="22"/>
  <c r="A153" i="11"/>
  <c r="BC27" i="22"/>
  <c r="B153" i="11"/>
  <c r="BD27" i="22"/>
  <c r="C153" i="11"/>
  <c r="BE27" i="22"/>
  <c r="D153" i="11"/>
  <c r="BF27" i="22"/>
  <c r="E153" i="11"/>
  <c r="BG27" i="22"/>
  <c r="BH27" i="22"/>
  <c r="BI27" i="22"/>
  <c r="BJ27" i="22"/>
  <c r="BK27" i="22"/>
  <c r="BL27" i="22"/>
  <c r="A154" i="11"/>
  <c r="BM27" i="22"/>
  <c r="B154" i="11"/>
  <c r="BN27" i="22"/>
  <c r="C154" i="11"/>
  <c r="BO27" i="22"/>
  <c r="D154" i="11"/>
  <c r="BP27" i="22"/>
  <c r="E154" i="11"/>
  <c r="BQ27" i="22"/>
  <c r="BR27" i="22"/>
  <c r="BS27" i="22"/>
  <c r="BT27" i="22"/>
  <c r="BU27" i="22"/>
  <c r="BV27" i="22"/>
  <c r="A155" i="11"/>
  <c r="BW27" i="22"/>
  <c r="B155" i="11"/>
  <c r="BX27" i="22"/>
  <c r="C155" i="11"/>
  <c r="BY27" i="22"/>
  <c r="D155" i="11"/>
  <c r="BZ27" i="22"/>
  <c r="E155" i="11"/>
  <c r="CA27" i="22"/>
  <c r="CB27" i="22"/>
  <c r="CC27" i="22"/>
  <c r="CD27" i="22"/>
  <c r="CE27" i="22"/>
  <c r="CF27" i="22"/>
  <c r="A156" i="11"/>
  <c r="CG27" i="22"/>
  <c r="B156" i="11"/>
  <c r="CH27" i="22"/>
  <c r="C156" i="11"/>
  <c r="CI27" i="22"/>
  <c r="D156" i="11"/>
  <c r="CJ27" i="22"/>
  <c r="E156" i="11"/>
  <c r="CK27" i="22"/>
  <c r="CL27" i="22"/>
  <c r="CM27" i="22"/>
  <c r="CN27" i="22"/>
  <c r="CO27" i="22"/>
  <c r="CP27" i="22"/>
  <c r="A157" i="11"/>
  <c r="CQ27" i="22"/>
  <c r="B157" i="11"/>
  <c r="CR27" i="22"/>
  <c r="C157" i="11"/>
  <c r="CS27" i="22"/>
  <c r="D157" i="11"/>
  <c r="CT27" i="22"/>
  <c r="E157" i="11"/>
  <c r="CU27" i="22"/>
  <c r="CV27" i="22"/>
  <c r="CW27" i="22"/>
  <c r="CX27" i="22"/>
  <c r="CY27" i="22"/>
  <c r="CZ27" i="22"/>
  <c r="A158" i="11"/>
  <c r="DA27" i="22"/>
  <c r="B158" i="11"/>
  <c r="DB27" i="22"/>
  <c r="C158" i="11"/>
  <c r="DC27" i="22"/>
  <c r="D158" i="11"/>
  <c r="DD27" i="22"/>
  <c r="E158" i="11"/>
  <c r="DE27" i="22"/>
  <c r="DF27" i="22"/>
  <c r="DG27" i="22"/>
  <c r="DH27" i="22"/>
  <c r="DI27" i="22"/>
  <c r="DJ27" i="22"/>
  <c r="A159" i="11"/>
  <c r="DK27" i="22"/>
  <c r="B159" i="11"/>
  <c r="DL27" i="22"/>
  <c r="C159" i="11"/>
  <c r="DM27" i="22"/>
  <c r="D159" i="11"/>
  <c r="DN27" i="22"/>
  <c r="E159" i="11"/>
  <c r="DO27" i="22"/>
  <c r="DP27" i="22"/>
  <c r="DQ27" i="22"/>
  <c r="DR27" i="22"/>
  <c r="DS27" i="22"/>
  <c r="DT27" i="22"/>
  <c r="A160" i="11"/>
  <c r="DU27" i="22"/>
  <c r="B160" i="11"/>
  <c r="DV27" i="22"/>
  <c r="C160" i="11"/>
  <c r="DW27" i="22"/>
  <c r="D160" i="11"/>
  <c r="DX27" i="22"/>
  <c r="E160" i="11"/>
  <c r="DY27" i="22"/>
  <c r="DZ27" i="22"/>
  <c r="EA27" i="22"/>
  <c r="EB27" i="22"/>
  <c r="EC27" i="22"/>
  <c r="ED27" i="22"/>
  <c r="A161" i="11"/>
  <c r="EE27" i="22"/>
  <c r="B161" i="11"/>
  <c r="EF27" i="22"/>
  <c r="C161" i="11"/>
  <c r="EG27" i="22"/>
  <c r="D161" i="11"/>
  <c r="EH27" i="22"/>
  <c r="E161" i="11"/>
  <c r="EI27" i="22"/>
  <c r="EJ27" i="22"/>
  <c r="EK27" i="22"/>
  <c r="EL27" i="22"/>
  <c r="EM27" i="22"/>
  <c r="EN27" i="22"/>
  <c r="EO27" i="22"/>
  <c r="EP27" i="22"/>
  <c r="EQ27" i="22"/>
  <c r="ER27" i="22"/>
  <c r="ES27" i="22"/>
  <c r="ET27" i="22"/>
  <c r="EU27" i="22"/>
  <c r="EV27" i="22"/>
  <c r="EW27" i="22"/>
  <c r="EX27" i="22"/>
  <c r="EY27" i="22"/>
  <c r="EZ27" i="22"/>
  <c r="FA27" i="22"/>
  <c r="FB27" i="22"/>
  <c r="FC27" i="22"/>
  <c r="FD27" i="22"/>
  <c r="FE27" i="22"/>
  <c r="FF27" i="22"/>
  <c r="FG27" i="22"/>
  <c r="FH27" i="22"/>
  <c r="A162" i="11"/>
  <c r="FI27" i="22"/>
  <c r="B162" i="11"/>
  <c r="FJ27" i="22"/>
  <c r="C162" i="11"/>
  <c r="FK27" i="22"/>
  <c r="D162" i="11"/>
  <c r="FL27" i="22"/>
  <c r="E162" i="11"/>
  <c r="FM27" i="22"/>
  <c r="FN27" i="22"/>
  <c r="FO27" i="22"/>
  <c r="FP27" i="22"/>
  <c r="FQ27" i="22"/>
  <c r="FR27" i="22"/>
  <c r="A163" i="11"/>
  <c r="FS27" i="22"/>
  <c r="B163" i="11"/>
  <c r="FT27" i="22"/>
  <c r="C163" i="11"/>
  <c r="FU27" i="22"/>
  <c r="D163" i="11"/>
  <c r="FV27" i="22"/>
  <c r="E163" i="11"/>
  <c r="FW27" i="22"/>
  <c r="FX27" i="22"/>
  <c r="FY27" i="22"/>
  <c r="FZ27" i="22"/>
  <c r="GA27" i="22"/>
  <c r="GB27" i="22"/>
  <c r="A164" i="11"/>
  <c r="GC27" i="22"/>
  <c r="B164" i="11"/>
  <c r="GD27" i="22"/>
  <c r="C164" i="11"/>
  <c r="GE27" i="22"/>
  <c r="D164" i="11"/>
  <c r="GF27" i="22"/>
  <c r="E164" i="11"/>
  <c r="GG27" i="22"/>
  <c r="GH27" i="22"/>
  <c r="GI27" i="22"/>
  <c r="GJ27" i="22"/>
  <c r="GK27" i="22"/>
  <c r="GL27" i="22"/>
  <c r="A165" i="11"/>
  <c r="GM27" i="22"/>
  <c r="B165" i="11"/>
  <c r="GN27" i="22"/>
  <c r="C165" i="11"/>
  <c r="GO27" i="22"/>
  <c r="D165" i="11"/>
  <c r="GP27" i="22"/>
  <c r="E165" i="11"/>
  <c r="GQ27" i="22"/>
  <c r="GR27" i="22"/>
  <c r="GS27" i="22"/>
  <c r="GT27" i="22"/>
  <c r="GU27" i="22"/>
  <c r="GV27" i="22"/>
  <c r="A166" i="11"/>
  <c r="GW27" i="22"/>
  <c r="B166" i="11"/>
  <c r="GX27" i="22"/>
  <c r="C166" i="11"/>
  <c r="GY27" i="22"/>
  <c r="D166" i="11"/>
  <c r="GZ27" i="22"/>
  <c r="E166" i="11"/>
  <c r="HA27" i="22"/>
  <c r="HB27" i="22"/>
  <c r="HC27" i="22"/>
  <c r="HD27" i="22"/>
  <c r="HE27" i="22"/>
  <c r="HF27" i="22"/>
  <c r="A167" i="11"/>
  <c r="HG27" i="22"/>
  <c r="B167" i="11"/>
  <c r="HH27" i="22"/>
  <c r="C167" i="11"/>
  <c r="HI27" i="22"/>
  <c r="D167" i="11"/>
  <c r="HJ27" i="22"/>
  <c r="E167" i="11"/>
  <c r="HK27" i="22"/>
  <c r="HL27" i="22"/>
  <c r="HM27" i="22"/>
  <c r="HN27" i="22"/>
  <c r="HO27" i="22"/>
  <c r="HP27" i="22"/>
  <c r="A168" i="11"/>
  <c r="HQ27" i="22"/>
  <c r="B168" i="11"/>
  <c r="HR27" i="22"/>
  <c r="C168" i="11"/>
  <c r="HS27" i="22"/>
  <c r="D168" i="11"/>
  <c r="HT27" i="22"/>
  <c r="E168" i="11"/>
  <c r="HU27" i="22"/>
  <c r="HV27" i="22"/>
  <c r="HW27" i="22"/>
  <c r="HX27" i="22"/>
  <c r="HY27" i="22"/>
  <c r="HZ27" i="22"/>
  <c r="A169" i="11"/>
  <c r="IA27" i="22"/>
  <c r="B169" i="11"/>
  <c r="IB27" i="22"/>
  <c r="C169" i="11"/>
  <c r="IC27" i="22"/>
  <c r="D169" i="11"/>
  <c r="ID27" i="22"/>
  <c r="E169" i="11"/>
  <c r="IE27" i="22"/>
  <c r="IF27" i="22"/>
  <c r="IG27" i="22"/>
  <c r="IH27" i="22"/>
  <c r="II27" i="22"/>
  <c r="IJ27" i="22"/>
  <c r="A170" i="11"/>
  <c r="IK27" i="22"/>
  <c r="B170" i="11"/>
  <c r="IL27" i="22"/>
  <c r="C170" i="11"/>
  <c r="IM27" i="22"/>
  <c r="D170" i="11"/>
  <c r="IN27" i="22"/>
  <c r="E170" i="11"/>
  <c r="IO27" i="22"/>
  <c r="IP27" i="22"/>
  <c r="IQ27" i="22"/>
  <c r="IR27" i="22"/>
  <c r="IS27" i="22"/>
  <c r="IT27" i="22"/>
  <c r="A171" i="11"/>
  <c r="IU27" i="22"/>
  <c r="B171" i="11"/>
  <c r="IV27" i="22"/>
  <c r="A111" i="11"/>
  <c r="A26" i="22"/>
  <c r="B111" i="11"/>
  <c r="B26" i="22"/>
  <c r="C111" i="11"/>
  <c r="C26" i="22"/>
  <c r="D111" i="11"/>
  <c r="D26" i="22"/>
  <c r="E111" i="11"/>
  <c r="E26" i="22"/>
  <c r="F26" i="22"/>
  <c r="G26" i="22"/>
  <c r="H26" i="22"/>
  <c r="I26" i="22"/>
  <c r="J26" i="22"/>
  <c r="K26" i="22"/>
  <c r="L26" i="22"/>
  <c r="M26" i="22"/>
  <c r="N26" i="22"/>
  <c r="O26" i="22"/>
  <c r="P26" i="22"/>
  <c r="Q26" i="22"/>
  <c r="R26" i="22"/>
  <c r="S26" i="22"/>
  <c r="T26" i="22"/>
  <c r="U26" i="22"/>
  <c r="V26" i="22"/>
  <c r="W26" i="22"/>
  <c r="X26" i="22"/>
  <c r="Y26" i="22"/>
  <c r="Z26" i="22"/>
  <c r="AA26" i="22"/>
  <c r="AB26" i="22"/>
  <c r="AC26" i="22"/>
  <c r="AD26" i="22"/>
  <c r="A112" i="11"/>
  <c r="AE26" i="22"/>
  <c r="B112" i="11"/>
  <c r="AF26" i="22"/>
  <c r="C112" i="11"/>
  <c r="AG26" i="22"/>
  <c r="D112" i="11"/>
  <c r="AH26" i="22"/>
  <c r="E112" i="11"/>
  <c r="AI26" i="22"/>
  <c r="AJ26" i="22"/>
  <c r="AK26" i="22"/>
  <c r="AL26" i="22"/>
  <c r="AM26" i="22"/>
  <c r="AN26" i="22"/>
  <c r="A113" i="11"/>
  <c r="AO26" i="22"/>
  <c r="B113" i="11"/>
  <c r="AP26" i="22"/>
  <c r="C113" i="11"/>
  <c r="AQ26" i="22"/>
  <c r="D113" i="11"/>
  <c r="AR26" i="22"/>
  <c r="E113" i="11"/>
  <c r="AS26" i="22"/>
  <c r="AT26" i="22"/>
  <c r="AU26" i="22"/>
  <c r="AV26" i="22"/>
  <c r="AW26" i="22"/>
  <c r="AX26" i="22"/>
  <c r="A114" i="11"/>
  <c r="AY26" i="22"/>
  <c r="B114" i="11"/>
  <c r="AZ26" i="22"/>
  <c r="C114" i="11"/>
  <c r="BA26" i="22"/>
  <c r="D114" i="11"/>
  <c r="BB26" i="22"/>
  <c r="E114" i="11"/>
  <c r="BC26" i="22"/>
  <c r="BD26" i="22"/>
  <c r="BE26" i="22"/>
  <c r="BF26" i="22"/>
  <c r="BG26" i="22"/>
  <c r="BH26" i="22"/>
  <c r="A115" i="11"/>
  <c r="BI26" i="22"/>
  <c r="B115" i="11"/>
  <c r="BJ26" i="22"/>
  <c r="C115" i="11"/>
  <c r="BK26" i="22"/>
  <c r="D115" i="11"/>
  <c r="BL26" i="22"/>
  <c r="E115" i="11"/>
  <c r="BM26" i="22"/>
  <c r="BN26" i="22"/>
  <c r="BO26" i="22"/>
  <c r="BP26" i="22"/>
  <c r="BQ26" i="22"/>
  <c r="BR26" i="22"/>
  <c r="A116" i="11"/>
  <c r="BS26" i="22"/>
  <c r="B116" i="11"/>
  <c r="BT26" i="22"/>
  <c r="C116" i="11"/>
  <c r="BU26" i="22"/>
  <c r="D116" i="11"/>
  <c r="BV26" i="22"/>
  <c r="E116" i="11"/>
  <c r="BW26" i="22"/>
  <c r="BX26" i="22"/>
  <c r="BY26" i="22"/>
  <c r="BZ26" i="22"/>
  <c r="CA26" i="22"/>
  <c r="CB26" i="22"/>
  <c r="A117" i="11"/>
  <c r="CC26" i="22"/>
  <c r="B117" i="11"/>
  <c r="CD26" i="22"/>
  <c r="C117" i="11"/>
  <c r="CE26" i="22"/>
  <c r="D117" i="11"/>
  <c r="CF26" i="22"/>
  <c r="E117" i="11"/>
  <c r="CG26" i="22"/>
  <c r="CH26" i="22"/>
  <c r="CI26" i="22"/>
  <c r="CJ26" i="22"/>
  <c r="CK26" i="22"/>
  <c r="CL26" i="22"/>
  <c r="A118" i="11"/>
  <c r="CM26" i="22"/>
  <c r="B118" i="11"/>
  <c r="CN26" i="22"/>
  <c r="C118" i="11"/>
  <c r="CO26" i="22"/>
  <c r="D118" i="11"/>
  <c r="CP26" i="22"/>
  <c r="E118" i="11"/>
  <c r="CQ26" i="22"/>
  <c r="CR26" i="22"/>
  <c r="CS26" i="22"/>
  <c r="CT26" i="22"/>
  <c r="CU26" i="22"/>
  <c r="CV26" i="22"/>
  <c r="A119" i="11"/>
  <c r="CW26" i="22"/>
  <c r="B119" i="11"/>
  <c r="CX26" i="22"/>
  <c r="C119" i="11"/>
  <c r="CY26" i="22"/>
  <c r="D119" i="11"/>
  <c r="CZ26" i="22"/>
  <c r="E119" i="11"/>
  <c r="DA26" i="22"/>
  <c r="DB26" i="22"/>
  <c r="DC26" i="22"/>
  <c r="DD26" i="22"/>
  <c r="DE26" i="22"/>
  <c r="DF26" i="22"/>
  <c r="A120" i="11"/>
  <c r="DG26" i="22"/>
  <c r="B120" i="11"/>
  <c r="DH26" i="22"/>
  <c r="C120" i="11"/>
  <c r="DI26" i="22"/>
  <c r="D120" i="11"/>
  <c r="DJ26" i="22"/>
  <c r="E120" i="11"/>
  <c r="DK26" i="22"/>
  <c r="DL26" i="22"/>
  <c r="DM26" i="22"/>
  <c r="DN26" i="22"/>
  <c r="DO26" i="22"/>
  <c r="DP26" i="22"/>
  <c r="A121" i="11"/>
  <c r="DQ26" i="22"/>
  <c r="B121" i="11"/>
  <c r="DR26" i="22"/>
  <c r="C121" i="11"/>
  <c r="DS26" i="22"/>
  <c r="D121" i="11"/>
  <c r="DT26" i="22"/>
  <c r="E121" i="11"/>
  <c r="DU26" i="22"/>
  <c r="DV26" i="22"/>
  <c r="DW26" i="22"/>
  <c r="DX26" i="22"/>
  <c r="DY26" i="22"/>
  <c r="DZ26" i="22"/>
  <c r="A122" i="11"/>
  <c r="EA26" i="22"/>
  <c r="B122" i="11"/>
  <c r="EB26" i="22"/>
  <c r="C122" i="11"/>
  <c r="EC26" i="22"/>
  <c r="D122" i="11"/>
  <c r="ED26" i="22"/>
  <c r="E122" i="11"/>
  <c r="EE26" i="22"/>
  <c r="EF26" i="22"/>
  <c r="EG26" i="22"/>
  <c r="EH26" i="22"/>
  <c r="EI26" i="22"/>
  <c r="EJ26" i="22"/>
  <c r="A123" i="11"/>
  <c r="EK26" i="22"/>
  <c r="B123" i="11"/>
  <c r="EL26" i="22"/>
  <c r="C123" i="11"/>
  <c r="EM26" i="22"/>
  <c r="D123" i="11"/>
  <c r="EN26" i="22"/>
  <c r="E123" i="11"/>
  <c r="EO26" i="22"/>
  <c r="EP26" i="22"/>
  <c r="EQ26" i="22"/>
  <c r="ER26" i="22"/>
  <c r="ES26" i="22"/>
  <c r="ET26" i="22"/>
  <c r="A124" i="11"/>
  <c r="EU26" i="22"/>
  <c r="B124" i="11"/>
  <c r="EV26" i="22"/>
  <c r="C124" i="11"/>
  <c r="EW26" i="22"/>
  <c r="D124" i="11"/>
  <c r="EX26" i="22"/>
  <c r="E124" i="11"/>
  <c r="EY26" i="22"/>
  <c r="EZ26" i="22"/>
  <c r="FA26" i="22"/>
  <c r="FB26" i="22"/>
  <c r="FC26" i="22"/>
  <c r="FD26" i="22"/>
  <c r="A125" i="11"/>
  <c r="FE26" i="22"/>
  <c r="B125" i="11"/>
  <c r="FF26" i="22"/>
  <c r="C125" i="11"/>
  <c r="FG26" i="22"/>
  <c r="D125" i="11"/>
  <c r="FH26" i="22"/>
  <c r="E125" i="11"/>
  <c r="FI26" i="22"/>
  <c r="FJ26" i="22"/>
  <c r="FK26" i="22"/>
  <c r="FL26" i="22"/>
  <c r="FM26" i="22"/>
  <c r="FN26" i="22"/>
  <c r="A126" i="11"/>
  <c r="FO26" i="22"/>
  <c r="B126" i="11"/>
  <c r="FP26" i="22"/>
  <c r="C126" i="11"/>
  <c r="FQ26" i="22"/>
  <c r="D126" i="11"/>
  <c r="FR26" i="22"/>
  <c r="E126" i="11"/>
  <c r="FS26" i="22"/>
  <c r="FT26" i="22"/>
  <c r="FU26" i="22"/>
  <c r="FV26" i="22"/>
  <c r="FW26" i="22"/>
  <c r="FX26" i="22"/>
  <c r="A127" i="11"/>
  <c r="FY26" i="22"/>
  <c r="B127" i="11"/>
  <c r="FZ26" i="22"/>
  <c r="C127" i="11"/>
  <c r="GA26" i="22"/>
  <c r="D127" i="11"/>
  <c r="GB26" i="22"/>
  <c r="E127" i="11"/>
  <c r="GC26" i="22"/>
  <c r="GD26" i="22"/>
  <c r="GE26" i="22"/>
  <c r="GF26" i="22"/>
  <c r="GG26" i="22"/>
  <c r="GH26" i="22"/>
  <c r="A128" i="11"/>
  <c r="GI26" i="22"/>
  <c r="B128" i="11"/>
  <c r="GJ26" i="22"/>
  <c r="C128" i="11"/>
  <c r="GK26" i="22"/>
  <c r="D128" i="11"/>
  <c r="GL26" i="22"/>
  <c r="E128" i="11"/>
  <c r="GM26" i="22"/>
  <c r="GN26" i="22"/>
  <c r="GO26" i="22"/>
  <c r="GP26" i="22"/>
  <c r="GQ26" i="22"/>
  <c r="GR26" i="22"/>
  <c r="A129" i="11"/>
  <c r="GS26" i="22"/>
  <c r="B129" i="11"/>
  <c r="GT26" i="22"/>
  <c r="C129" i="11"/>
  <c r="GU26" i="22"/>
  <c r="D129" i="11"/>
  <c r="GV26" i="22"/>
  <c r="E129" i="11"/>
  <c r="GW26" i="22"/>
  <c r="GX26" i="22"/>
  <c r="GY26" i="22"/>
  <c r="GZ26" i="22"/>
  <c r="HA26" i="22"/>
  <c r="HB26" i="22"/>
  <c r="A130" i="11"/>
  <c r="HC26" i="22"/>
  <c r="B130" i="11"/>
  <c r="HD26" i="22"/>
  <c r="C130" i="11"/>
  <c r="HE26" i="22"/>
  <c r="D130" i="11"/>
  <c r="HF26" i="22"/>
  <c r="E130" i="11"/>
  <c r="HG26" i="22"/>
  <c r="HH26" i="22"/>
  <c r="HI26" i="22"/>
  <c r="HJ26" i="22"/>
  <c r="HK26" i="22"/>
  <c r="HL26" i="22"/>
  <c r="A131" i="11"/>
  <c r="HM26" i="22"/>
  <c r="B131" i="11"/>
  <c r="HN26" i="22"/>
  <c r="C131" i="11"/>
  <c r="HO26" i="22"/>
  <c r="D131" i="11"/>
  <c r="HP26" i="22"/>
  <c r="E131" i="11"/>
  <c r="HQ26" i="22"/>
  <c r="HR26" i="22"/>
  <c r="HS26" i="22"/>
  <c r="HT26" i="22"/>
  <c r="HU26" i="22"/>
  <c r="HV26" i="22"/>
  <c r="HW26" i="22"/>
  <c r="HX26" i="22"/>
  <c r="HY26" i="22"/>
  <c r="HZ26" i="22"/>
  <c r="IA26" i="22"/>
  <c r="IB26" i="22"/>
  <c r="IC26" i="22"/>
  <c r="ID26" i="22"/>
  <c r="IE26" i="22"/>
  <c r="IF26" i="22"/>
  <c r="IG26" i="22"/>
  <c r="IH26" i="22"/>
  <c r="II26" i="22"/>
  <c r="IJ26" i="22"/>
  <c r="IK26" i="22"/>
  <c r="IL26" i="22"/>
  <c r="IM26" i="22"/>
  <c r="IN26" i="22"/>
  <c r="IO26" i="22"/>
  <c r="IP26" i="22"/>
  <c r="IQ26" i="22"/>
  <c r="IR26" i="22"/>
  <c r="IS26" i="22"/>
  <c r="IT26" i="22"/>
  <c r="IU26" i="22"/>
  <c r="IV26" i="22"/>
  <c r="E87" i="11"/>
  <c r="A25" i="22"/>
  <c r="B25" i="22"/>
  <c r="C25" i="22"/>
  <c r="D25" i="22"/>
  <c r="E25" i="22"/>
  <c r="F25" i="22"/>
  <c r="A88" i="11"/>
  <c r="G25" i="22"/>
  <c r="B88" i="11"/>
  <c r="H25" i="22"/>
  <c r="C88" i="11"/>
  <c r="I25" i="22"/>
  <c r="D88" i="11"/>
  <c r="J25" i="22"/>
  <c r="E88" i="11"/>
  <c r="K25" i="22"/>
  <c r="L25" i="22"/>
  <c r="M25" i="22"/>
  <c r="N25" i="22"/>
  <c r="O25" i="22"/>
  <c r="P25" i="22"/>
  <c r="A89" i="11"/>
  <c r="Q25" i="22"/>
  <c r="B89" i="11"/>
  <c r="R25" i="22"/>
  <c r="C89" i="11"/>
  <c r="S25" i="22"/>
  <c r="D89" i="11"/>
  <c r="T25" i="22"/>
  <c r="E89" i="11"/>
  <c r="U25" i="22"/>
  <c r="V25" i="22"/>
  <c r="W25" i="22"/>
  <c r="X25" i="22"/>
  <c r="Y25" i="22"/>
  <c r="Z25" i="22"/>
  <c r="A90" i="11"/>
  <c r="AA25" i="22"/>
  <c r="B90" i="11"/>
  <c r="AB25" i="22"/>
  <c r="C90" i="11"/>
  <c r="AC25" i="22"/>
  <c r="D90" i="11"/>
  <c r="AD25" i="22"/>
  <c r="E90" i="11"/>
  <c r="AE25" i="22"/>
  <c r="AF25" i="22"/>
  <c r="AG25" i="22"/>
  <c r="AH25" i="22"/>
  <c r="AI25" i="22"/>
  <c r="AJ25" i="22"/>
  <c r="A91" i="11"/>
  <c r="AK25" i="22"/>
  <c r="B91" i="11"/>
  <c r="AL25" i="22"/>
  <c r="C91" i="11"/>
  <c r="AM25" i="22"/>
  <c r="D91" i="11"/>
  <c r="AN25" i="22"/>
  <c r="E91" i="11"/>
  <c r="AO25" i="22"/>
  <c r="AP25" i="22"/>
  <c r="AQ25" i="22"/>
  <c r="AR25" i="22"/>
  <c r="AS25" i="22"/>
  <c r="AT25" i="22"/>
  <c r="AU25" i="22"/>
  <c r="AV25" i="22"/>
  <c r="AW25" i="22"/>
  <c r="AX25" i="22"/>
  <c r="AY25" i="22"/>
  <c r="AZ25" i="22"/>
  <c r="BA25" i="22"/>
  <c r="BB25" i="22"/>
  <c r="BC25" i="22"/>
  <c r="BD25" i="22"/>
  <c r="BE25" i="22"/>
  <c r="BF25" i="22"/>
  <c r="BG25" i="22"/>
  <c r="BH25" i="22"/>
  <c r="BI25" i="22"/>
  <c r="BJ25" i="22"/>
  <c r="BK25" i="22"/>
  <c r="BL25" i="22"/>
  <c r="BM25" i="22"/>
  <c r="BN25" i="22"/>
  <c r="A92" i="11"/>
  <c r="BO25" i="22"/>
  <c r="B92" i="11"/>
  <c r="BP25" i="22"/>
  <c r="C92" i="11"/>
  <c r="BQ25" i="22"/>
  <c r="D92" i="11"/>
  <c r="BR25" i="22"/>
  <c r="E92" i="11"/>
  <c r="BS25" i="22"/>
  <c r="BT25" i="22"/>
  <c r="BU25" i="22"/>
  <c r="BV25" i="22"/>
  <c r="BW25" i="22"/>
  <c r="BX25" i="22"/>
  <c r="A93" i="11"/>
  <c r="BY25" i="22"/>
  <c r="B93" i="11"/>
  <c r="BZ25" i="22"/>
  <c r="C93" i="11"/>
  <c r="CA25" i="22"/>
  <c r="D93" i="11"/>
  <c r="CB25" i="22"/>
  <c r="E93" i="11"/>
  <c r="CC25" i="22"/>
  <c r="CD25" i="22"/>
  <c r="CE25" i="22"/>
  <c r="CF25" i="22"/>
  <c r="CG25" i="22"/>
  <c r="CH25" i="22"/>
  <c r="A94" i="11"/>
  <c r="CI25" i="22"/>
  <c r="B94" i="11"/>
  <c r="CJ25" i="22"/>
  <c r="C94" i="11"/>
  <c r="CK25" i="22"/>
  <c r="D94" i="11"/>
  <c r="CL25" i="22"/>
  <c r="E94" i="11"/>
  <c r="CM25" i="22"/>
  <c r="CN25" i="22"/>
  <c r="CO25" i="22"/>
  <c r="CP25" i="22"/>
  <c r="CQ25" i="22"/>
  <c r="CR25" i="22"/>
  <c r="A95" i="11"/>
  <c r="CS25" i="22"/>
  <c r="B95" i="11"/>
  <c r="CT25" i="22"/>
  <c r="C95" i="11"/>
  <c r="CU25" i="22"/>
  <c r="D95" i="11"/>
  <c r="CV25" i="22"/>
  <c r="E95" i="11"/>
  <c r="CW25" i="22"/>
  <c r="CX25" i="22"/>
  <c r="CY25" i="22"/>
  <c r="CZ25" i="22"/>
  <c r="DA25" i="22"/>
  <c r="DB25" i="22"/>
  <c r="A96" i="11"/>
  <c r="DC25" i="22"/>
  <c r="B96" i="11"/>
  <c r="DD25" i="22"/>
  <c r="C96" i="11"/>
  <c r="DE25" i="22"/>
  <c r="D96" i="11"/>
  <c r="DF25" i="22"/>
  <c r="E96" i="11"/>
  <c r="DG25" i="22"/>
  <c r="DH25" i="22"/>
  <c r="DI25" i="22"/>
  <c r="DJ25" i="22"/>
  <c r="DK25" i="22"/>
  <c r="DL25" i="22"/>
  <c r="A97" i="11"/>
  <c r="DM25" i="22"/>
  <c r="B97" i="11"/>
  <c r="DN25" i="22"/>
  <c r="C97" i="11"/>
  <c r="DO25" i="22"/>
  <c r="D97" i="11"/>
  <c r="DP25" i="22"/>
  <c r="E97" i="11"/>
  <c r="DQ25" i="22"/>
  <c r="DR25" i="22"/>
  <c r="DS25" i="22"/>
  <c r="DT25" i="22"/>
  <c r="DU25" i="22"/>
  <c r="DV25" i="22"/>
  <c r="A98" i="11"/>
  <c r="DW25" i="22"/>
  <c r="B98" i="11"/>
  <c r="DX25" i="22"/>
  <c r="C98" i="11"/>
  <c r="DY25" i="22"/>
  <c r="D98" i="11"/>
  <c r="DZ25" i="22"/>
  <c r="E98" i="11"/>
  <c r="EA25" i="22"/>
  <c r="EB25" i="22"/>
  <c r="EC25" i="22"/>
  <c r="ED25" i="22"/>
  <c r="EE25" i="22"/>
  <c r="EF25" i="22"/>
  <c r="A99" i="11"/>
  <c r="EG25" i="22"/>
  <c r="B99" i="11"/>
  <c r="EH25" i="22"/>
  <c r="C99" i="11"/>
  <c r="EI25" i="22"/>
  <c r="D99" i="11"/>
  <c r="EJ25" i="22"/>
  <c r="E99" i="11"/>
  <c r="EK25" i="22"/>
  <c r="EL25" i="22"/>
  <c r="EM25" i="22"/>
  <c r="EN25" i="22"/>
  <c r="EO25" i="22"/>
  <c r="EP25" i="22"/>
  <c r="A100" i="11"/>
  <c r="EQ25" i="22"/>
  <c r="B100" i="11"/>
  <c r="ER25" i="22"/>
  <c r="C100" i="11"/>
  <c r="ES25" i="22"/>
  <c r="D100" i="11"/>
  <c r="ET25" i="22"/>
  <c r="E100" i="11"/>
  <c r="EU25" i="22"/>
  <c r="EV25" i="22"/>
  <c r="EW25" i="22"/>
  <c r="EX25" i="22"/>
  <c r="EY25" i="22"/>
  <c r="EZ25" i="22"/>
  <c r="A101" i="11"/>
  <c r="FA25" i="22"/>
  <c r="B101" i="11"/>
  <c r="FB25" i="22"/>
  <c r="C101" i="11"/>
  <c r="FC25" i="22"/>
  <c r="D101" i="11"/>
  <c r="FD25" i="22"/>
  <c r="E101" i="11"/>
  <c r="FE25" i="22"/>
  <c r="FF25" i="22"/>
  <c r="FG25" i="22"/>
  <c r="FH25" i="22"/>
  <c r="FI25" i="22"/>
  <c r="FJ25" i="22"/>
  <c r="A102" i="11"/>
  <c r="FK25" i="22"/>
  <c r="B102" i="11"/>
  <c r="FL25" i="22"/>
  <c r="C102" i="11"/>
  <c r="FM25" i="22"/>
  <c r="D102" i="11"/>
  <c r="FN25" i="22"/>
  <c r="E102" i="11"/>
  <c r="FO25" i="22"/>
  <c r="FP25" i="22"/>
  <c r="FQ25" i="22"/>
  <c r="FR25" i="22"/>
  <c r="FS25" i="22"/>
  <c r="FT25" i="22"/>
  <c r="A103" i="11"/>
  <c r="FU25" i="22"/>
  <c r="B103" i="11"/>
  <c r="FV25" i="22"/>
  <c r="C103" i="11"/>
  <c r="FW25" i="22"/>
  <c r="D103" i="11"/>
  <c r="FX25" i="22"/>
  <c r="E103" i="11"/>
  <c r="FY25" i="22"/>
  <c r="FZ25" i="22"/>
  <c r="GA25" i="22"/>
  <c r="GB25" i="22"/>
  <c r="GC25" i="22"/>
  <c r="GD25" i="22"/>
  <c r="A104" i="11"/>
  <c r="GE25" i="22"/>
  <c r="B104" i="11"/>
  <c r="GF25" i="22"/>
  <c r="C104" i="11"/>
  <c r="GG25" i="22"/>
  <c r="D104" i="11"/>
  <c r="GH25" i="22"/>
  <c r="E104" i="11"/>
  <c r="GI25" i="22"/>
  <c r="GJ25" i="22"/>
  <c r="GK25" i="22"/>
  <c r="GL25" i="22"/>
  <c r="GM25" i="22"/>
  <c r="GN25" i="22"/>
  <c r="A105" i="11"/>
  <c r="GO25" i="22"/>
  <c r="B105" i="11"/>
  <c r="GP25" i="22"/>
  <c r="C105" i="11"/>
  <c r="GQ25" i="22"/>
  <c r="D105" i="11"/>
  <c r="GR25" i="22"/>
  <c r="E105" i="11"/>
  <c r="GS25" i="22"/>
  <c r="GT25" i="22"/>
  <c r="GU25" i="22"/>
  <c r="GV25" i="22"/>
  <c r="GW25" i="22"/>
  <c r="GX25" i="22"/>
  <c r="A106" i="11"/>
  <c r="GY25" i="22"/>
  <c r="B106" i="11"/>
  <c r="GZ25" i="22"/>
  <c r="C106" i="11"/>
  <c r="HA25" i="22"/>
  <c r="D106" i="11"/>
  <c r="HB25" i="22"/>
  <c r="E106" i="11"/>
  <c r="HC25" i="22"/>
  <c r="HD25" i="22"/>
  <c r="HE25" i="22"/>
  <c r="HF25" i="22"/>
  <c r="HG25" i="22"/>
  <c r="HH25" i="22"/>
  <c r="A107" i="11"/>
  <c r="HI25" i="22"/>
  <c r="B107" i="11"/>
  <c r="HJ25" i="22"/>
  <c r="C107" i="11"/>
  <c r="HK25" i="22"/>
  <c r="D107" i="11"/>
  <c r="HL25" i="22"/>
  <c r="E107" i="11"/>
  <c r="HM25" i="22"/>
  <c r="HN25" i="22"/>
  <c r="HO25" i="22"/>
  <c r="HP25" i="22"/>
  <c r="HQ25" i="22"/>
  <c r="HR25" i="22"/>
  <c r="A108" i="11"/>
  <c r="HS25" i="22"/>
  <c r="B108" i="11"/>
  <c r="HT25" i="22"/>
  <c r="C108" i="11"/>
  <c r="HU25" i="22"/>
  <c r="D108" i="11"/>
  <c r="HV25" i="22"/>
  <c r="E108" i="11"/>
  <c r="HW25" i="22"/>
  <c r="HX25" i="22"/>
  <c r="HY25" i="22"/>
  <c r="HZ25" i="22"/>
  <c r="IA25" i="22"/>
  <c r="IB25" i="22"/>
  <c r="A109" i="11"/>
  <c r="IC25" i="22"/>
  <c r="B109" i="11"/>
  <c r="ID25" i="22"/>
  <c r="C109" i="11"/>
  <c r="IE25" i="22"/>
  <c r="D109" i="11"/>
  <c r="IF25" i="22"/>
  <c r="E109" i="11"/>
  <c r="IG25" i="22"/>
  <c r="IH25" i="22"/>
  <c r="II25" i="22"/>
  <c r="IJ25" i="22"/>
  <c r="IK25" i="22"/>
  <c r="IL25" i="22"/>
  <c r="A110" i="11"/>
  <c r="IM25" i="22"/>
  <c r="B110" i="11"/>
  <c r="IN25" i="22"/>
  <c r="C110" i="11"/>
  <c r="IO25" i="22"/>
  <c r="D110" i="11"/>
  <c r="IP25" i="22"/>
  <c r="E110" i="11"/>
  <c r="IQ25" i="22"/>
  <c r="IR25" i="22"/>
  <c r="IS25" i="22"/>
  <c r="IT25" i="22"/>
  <c r="IU25" i="22"/>
  <c r="IV25" i="22"/>
  <c r="A24" i="22"/>
  <c r="A64" i="11"/>
  <c r="C24" i="22"/>
  <c r="B64" i="11"/>
  <c r="D24" i="22"/>
  <c r="C64" i="11"/>
  <c r="E24" i="22"/>
  <c r="D64" i="11"/>
  <c r="F24" i="22"/>
  <c r="E64" i="11"/>
  <c r="G24" i="22"/>
  <c r="H24" i="22"/>
  <c r="I24" i="22"/>
  <c r="J24" i="22"/>
  <c r="K24" i="22"/>
  <c r="L24" i="22"/>
  <c r="A65" i="11"/>
  <c r="M24" i="22"/>
  <c r="B65" i="11"/>
  <c r="N24" i="22"/>
  <c r="C65" i="11"/>
  <c r="O24" i="22"/>
  <c r="D65" i="11"/>
  <c r="P24" i="22"/>
  <c r="E65" i="11"/>
  <c r="Q24" i="22"/>
  <c r="R24" i="22"/>
  <c r="S24" i="22"/>
  <c r="T24" i="22"/>
  <c r="U24" i="22"/>
  <c r="V24" i="22"/>
  <c r="A66" i="11"/>
  <c r="W24" i="22"/>
  <c r="B66" i="11"/>
  <c r="X24" i="22"/>
  <c r="C66" i="11"/>
  <c r="Y24" i="22"/>
  <c r="D66" i="11"/>
  <c r="Z24" i="22"/>
  <c r="E66" i="11"/>
  <c r="AA24" i="22"/>
  <c r="AB24" i="22"/>
  <c r="AC24" i="22"/>
  <c r="AD24" i="22"/>
  <c r="AE24" i="22"/>
  <c r="AF24" i="22"/>
  <c r="A67" i="11"/>
  <c r="AG24" i="22"/>
  <c r="B67" i="11"/>
  <c r="AH24" i="22"/>
  <c r="C67" i="11"/>
  <c r="AI24" i="22"/>
  <c r="D67" i="11"/>
  <c r="AJ24" i="22"/>
  <c r="E67" i="11"/>
  <c r="AK24" i="22"/>
  <c r="AL24" i="22"/>
  <c r="AM24" i="22"/>
  <c r="AN24" i="22"/>
  <c r="AO24" i="22"/>
  <c r="AP24" i="22"/>
  <c r="A68" i="11"/>
  <c r="AQ24" i="22"/>
  <c r="B68" i="11"/>
  <c r="AR24" i="22"/>
  <c r="C68" i="11"/>
  <c r="AS24" i="22"/>
  <c r="D68" i="11"/>
  <c r="AT24" i="22"/>
  <c r="E68" i="11"/>
  <c r="AU24" i="22"/>
  <c r="AV24" i="22"/>
  <c r="AW24" i="22"/>
  <c r="AX24" i="22"/>
  <c r="AY24" i="22"/>
  <c r="AZ24" i="22"/>
  <c r="A69" i="11"/>
  <c r="BA24" i="22"/>
  <c r="B69" i="11"/>
  <c r="BB24" i="22"/>
  <c r="C69" i="11"/>
  <c r="BC24" i="22"/>
  <c r="D69" i="11"/>
  <c r="BD24" i="22"/>
  <c r="E69" i="11"/>
  <c r="BE24" i="22"/>
  <c r="BF24" i="22"/>
  <c r="BG24" i="22"/>
  <c r="BH24" i="22"/>
  <c r="BI24" i="22"/>
  <c r="BJ24" i="22"/>
  <c r="A70" i="11"/>
  <c r="BK24" i="22"/>
  <c r="B70" i="11"/>
  <c r="BL24" i="22"/>
  <c r="C70" i="11"/>
  <c r="BM24" i="22"/>
  <c r="D70" i="11"/>
  <c r="BN24" i="22"/>
  <c r="E70" i="11"/>
  <c r="BO24" i="22"/>
  <c r="BP24" i="22"/>
  <c r="BQ24" i="22"/>
  <c r="BR24" i="22"/>
  <c r="BS24" i="22"/>
  <c r="BT24" i="22"/>
  <c r="A71" i="11"/>
  <c r="BU24" i="22"/>
  <c r="B71" i="11"/>
  <c r="BV24" i="22"/>
  <c r="C71" i="11"/>
  <c r="BW24" i="22"/>
  <c r="D71" i="11"/>
  <c r="BX24" i="22"/>
  <c r="E71" i="11"/>
  <c r="BY24" i="22"/>
  <c r="BZ24" i="22"/>
  <c r="CA24" i="22"/>
  <c r="CB24" i="22"/>
  <c r="CC24" i="22"/>
  <c r="CD24" i="22"/>
  <c r="CE24" i="22"/>
  <c r="CF24" i="22"/>
  <c r="CG24" i="22"/>
  <c r="CH24" i="22"/>
  <c r="CI24" i="22"/>
  <c r="CJ24" i="22"/>
  <c r="CK24" i="22"/>
  <c r="CL24" i="22"/>
  <c r="CM24" i="22"/>
  <c r="CN24" i="22"/>
  <c r="CO24" i="22"/>
  <c r="CP24" i="22"/>
  <c r="CQ24" i="22"/>
  <c r="CR24" i="22"/>
  <c r="CS24" i="22"/>
  <c r="CT24" i="22"/>
  <c r="CU24" i="22"/>
  <c r="CV24" i="22"/>
  <c r="CW24" i="22"/>
  <c r="CX24" i="22"/>
  <c r="A72" i="11"/>
  <c r="CY24" i="22"/>
  <c r="B72" i="11"/>
  <c r="CZ24" i="22"/>
  <c r="C72" i="11"/>
  <c r="DA24" i="22"/>
  <c r="D72" i="11"/>
  <c r="DB24" i="22"/>
  <c r="E72" i="11"/>
  <c r="DC24" i="22"/>
  <c r="DD24" i="22"/>
  <c r="DE24" i="22"/>
  <c r="DF24" i="22"/>
  <c r="DG24" i="22"/>
  <c r="DH24" i="22"/>
  <c r="A73" i="11"/>
  <c r="DI24" i="22"/>
  <c r="B73" i="11"/>
  <c r="DJ24" i="22"/>
  <c r="C73" i="11"/>
  <c r="DK24" i="22"/>
  <c r="D73" i="11"/>
  <c r="DL24" i="22"/>
  <c r="E73" i="11"/>
  <c r="DM24" i="22"/>
  <c r="DN24" i="22"/>
  <c r="DO24" i="22"/>
  <c r="DP24" i="22"/>
  <c r="DQ24" i="22"/>
  <c r="DR24" i="22"/>
  <c r="A74" i="11"/>
  <c r="DS24" i="22"/>
  <c r="B74" i="11"/>
  <c r="DT24" i="22"/>
  <c r="C74" i="11"/>
  <c r="DU24" i="22"/>
  <c r="D74" i="11"/>
  <c r="DV24" i="22"/>
  <c r="E74" i="11"/>
  <c r="DW24" i="22"/>
  <c r="DX24" i="22"/>
  <c r="DY24" i="22"/>
  <c r="DZ24" i="22"/>
  <c r="EA24" i="22"/>
  <c r="EB24" i="22"/>
  <c r="A75" i="11"/>
  <c r="EC24" i="22"/>
  <c r="B75" i="11"/>
  <c r="ED24" i="22"/>
  <c r="C75" i="11"/>
  <c r="EE24" i="22"/>
  <c r="D75" i="11"/>
  <c r="EF24" i="22"/>
  <c r="E75" i="11"/>
  <c r="EG24" i="22"/>
  <c r="EH24" i="22"/>
  <c r="EI24" i="22"/>
  <c r="EJ24" i="22"/>
  <c r="EK24" i="22"/>
  <c r="EL24" i="22"/>
  <c r="A76" i="11"/>
  <c r="EM24" i="22"/>
  <c r="B76" i="11"/>
  <c r="EN24" i="22"/>
  <c r="C76" i="11"/>
  <c r="EO24" i="22"/>
  <c r="D76" i="11"/>
  <c r="EP24" i="22"/>
  <c r="E76" i="11"/>
  <c r="EQ24" i="22"/>
  <c r="ER24" i="22"/>
  <c r="ES24" i="22"/>
  <c r="ET24" i="22"/>
  <c r="EU24" i="22"/>
  <c r="EV24" i="22"/>
  <c r="A77" i="11"/>
  <c r="EW24" i="22"/>
  <c r="B77" i="11"/>
  <c r="EX24" i="22"/>
  <c r="C77" i="11"/>
  <c r="EY24" i="22"/>
  <c r="D77" i="11"/>
  <c r="EZ24" i="22"/>
  <c r="E77" i="11"/>
  <c r="FA24" i="22"/>
  <c r="FB24" i="22"/>
  <c r="FC24" i="22"/>
  <c r="FD24" i="22"/>
  <c r="FE24" i="22"/>
  <c r="FF24" i="22"/>
  <c r="A78" i="11"/>
  <c r="FG24" i="22"/>
  <c r="B78" i="11"/>
  <c r="FH24" i="22"/>
  <c r="C78" i="11"/>
  <c r="FI24" i="22"/>
  <c r="D78" i="11"/>
  <c r="FJ24" i="22"/>
  <c r="E78" i="11"/>
  <c r="FK24" i="22"/>
  <c r="FL24" i="22"/>
  <c r="FM24" i="22"/>
  <c r="FN24" i="22"/>
  <c r="FO24" i="22"/>
  <c r="FP24" i="22"/>
  <c r="A79" i="11"/>
  <c r="FQ24" i="22"/>
  <c r="B79" i="11"/>
  <c r="FR24" i="22"/>
  <c r="C79" i="11"/>
  <c r="FS24" i="22"/>
  <c r="D79" i="11"/>
  <c r="FT24" i="22"/>
  <c r="E79" i="11"/>
  <c r="FU24" i="22"/>
  <c r="FV24" i="22"/>
  <c r="FW24" i="22"/>
  <c r="FX24" i="22"/>
  <c r="FY24" i="22"/>
  <c r="FZ24" i="22"/>
  <c r="A80" i="11"/>
  <c r="GA24" i="22"/>
  <c r="B80" i="11"/>
  <c r="GB24" i="22"/>
  <c r="C80" i="11"/>
  <c r="GC24" i="22"/>
  <c r="D80" i="11"/>
  <c r="GD24" i="22"/>
  <c r="E80" i="11"/>
  <c r="GE24" i="22"/>
  <c r="GF24" i="22"/>
  <c r="GG24" i="22"/>
  <c r="GH24" i="22"/>
  <c r="GI24" i="22"/>
  <c r="GJ24" i="22"/>
  <c r="A81" i="11"/>
  <c r="GK24" i="22"/>
  <c r="B81" i="11"/>
  <c r="GL24" i="22"/>
  <c r="C81" i="11"/>
  <c r="GM24" i="22"/>
  <c r="D81" i="11"/>
  <c r="GN24" i="22"/>
  <c r="E81" i="11"/>
  <c r="GO24" i="22"/>
  <c r="GP24" i="22"/>
  <c r="GQ24" i="22"/>
  <c r="GR24" i="22"/>
  <c r="GS24" i="22"/>
  <c r="GT24" i="22"/>
  <c r="A82" i="11"/>
  <c r="GU24" i="22"/>
  <c r="B82" i="11"/>
  <c r="GV24" i="22"/>
  <c r="C82" i="11"/>
  <c r="GW24" i="22"/>
  <c r="D82" i="11"/>
  <c r="GX24" i="22"/>
  <c r="E82" i="11"/>
  <c r="GY24" i="22"/>
  <c r="GZ24" i="22"/>
  <c r="HA24" i="22"/>
  <c r="HB24" i="22"/>
  <c r="HC24" i="22"/>
  <c r="HD24" i="22"/>
  <c r="A83" i="11"/>
  <c r="HE24" i="22"/>
  <c r="B83" i="11"/>
  <c r="HF24" i="22"/>
  <c r="C83" i="11"/>
  <c r="HG24" i="22"/>
  <c r="D83" i="11"/>
  <c r="HH24" i="22"/>
  <c r="E83" i="11"/>
  <c r="HI24" i="22"/>
  <c r="HJ24" i="22"/>
  <c r="HK24" i="22"/>
  <c r="HL24" i="22"/>
  <c r="HM24" i="22"/>
  <c r="HN24" i="22"/>
  <c r="A84" i="11"/>
  <c r="HO24" i="22"/>
  <c r="B84" i="11"/>
  <c r="HP24" i="22"/>
  <c r="C84" i="11"/>
  <c r="HQ24" i="22"/>
  <c r="D84" i="11"/>
  <c r="HR24" i="22"/>
  <c r="E84" i="11"/>
  <c r="HS24" i="22"/>
  <c r="HT24" i="22"/>
  <c r="HU24" i="22"/>
  <c r="HV24" i="22"/>
  <c r="HW24" i="22"/>
  <c r="HX24" i="22"/>
  <c r="A85" i="11"/>
  <c r="HY24" i="22"/>
  <c r="B85" i="11"/>
  <c r="HZ24" i="22"/>
  <c r="C85" i="11"/>
  <c r="IA24" i="22"/>
  <c r="D85" i="11"/>
  <c r="IB24" i="22"/>
  <c r="E85" i="11"/>
  <c r="IC24" i="22"/>
  <c r="ID24" i="22"/>
  <c r="IE24" i="22"/>
  <c r="IF24" i="22"/>
  <c r="IG24" i="22"/>
  <c r="IH24" i="22"/>
  <c r="A86" i="11"/>
  <c r="II24" i="22"/>
  <c r="B86" i="11"/>
  <c r="IJ24" i="22"/>
  <c r="C86" i="11"/>
  <c r="IK24" i="22"/>
  <c r="D86" i="11"/>
  <c r="IL24" i="22"/>
  <c r="E86" i="11"/>
  <c r="IM24" i="22"/>
  <c r="IN24" i="22"/>
  <c r="IO24" i="22"/>
  <c r="IP24" i="22"/>
  <c r="IQ24" i="22"/>
  <c r="IR24" i="22"/>
  <c r="A87" i="11"/>
  <c r="IS24" i="22"/>
  <c r="B87" i="11"/>
  <c r="IT24" i="22"/>
  <c r="C87" i="11"/>
  <c r="IU24" i="22"/>
  <c r="D87" i="11"/>
  <c r="IV24" i="22"/>
  <c r="C18" i="11"/>
  <c r="A23" i="22"/>
  <c r="D18" i="11"/>
  <c r="B23" i="22"/>
  <c r="E18" i="11"/>
  <c r="C23" i="22"/>
  <c r="D23" i="22"/>
  <c r="E23" i="22"/>
  <c r="F23" i="22"/>
  <c r="G23" i="22"/>
  <c r="H23" i="22"/>
  <c r="A19" i="11"/>
  <c r="I23" i="22"/>
  <c r="B19" i="11"/>
  <c r="J23" i="22"/>
  <c r="C19" i="11"/>
  <c r="K23" i="22"/>
  <c r="D19" i="11"/>
  <c r="L23" i="22"/>
  <c r="E19" i="11"/>
  <c r="M23" i="22"/>
  <c r="N23" i="22"/>
  <c r="O23" i="22"/>
  <c r="P23" i="22"/>
  <c r="Q23" i="22"/>
  <c r="R23" i="22"/>
  <c r="A20" i="11"/>
  <c r="S23" i="22"/>
  <c r="B20" i="11"/>
  <c r="T23" i="22"/>
  <c r="C20" i="11"/>
  <c r="U23" i="22"/>
  <c r="D20" i="11"/>
  <c r="V23" i="22"/>
  <c r="E20" i="11"/>
  <c r="W23" i="22"/>
  <c r="X23" i="22"/>
  <c r="Y23" i="22"/>
  <c r="Z23" i="22"/>
  <c r="AA23" i="22"/>
  <c r="AB23" i="22"/>
  <c r="A21" i="11"/>
  <c r="AC23" i="22"/>
  <c r="B21" i="11"/>
  <c r="AD23" i="22"/>
  <c r="C21" i="11"/>
  <c r="AE23" i="22"/>
  <c r="D21" i="11"/>
  <c r="AF23" i="22"/>
  <c r="E21" i="11"/>
  <c r="AG23" i="22"/>
  <c r="AH23" i="22"/>
  <c r="AI23" i="22"/>
  <c r="AJ23" i="22"/>
  <c r="AK23" i="22"/>
  <c r="AL23" i="22"/>
  <c r="AM23" i="22"/>
  <c r="AN23" i="22"/>
  <c r="AO23" i="22"/>
  <c r="AP23" i="22"/>
  <c r="AQ23" i="22"/>
  <c r="AR23" i="22"/>
  <c r="AS23" i="22"/>
  <c r="AT23" i="22"/>
  <c r="AU23" i="22"/>
  <c r="AV23" i="22"/>
  <c r="AW23" i="22"/>
  <c r="AX23" i="22"/>
  <c r="AY23" i="22"/>
  <c r="AZ23" i="22"/>
  <c r="BA23" i="22"/>
  <c r="BB23" i="22"/>
  <c r="BC23" i="22"/>
  <c r="BD23" i="22"/>
  <c r="BE23" i="22"/>
  <c r="BF23" i="22"/>
  <c r="A30" i="11"/>
  <c r="BG23" i="22"/>
  <c r="B30" i="11"/>
  <c r="BH23" i="22"/>
  <c r="C30" i="11"/>
  <c r="BI23" i="22"/>
  <c r="D30" i="11"/>
  <c r="BJ23" i="22"/>
  <c r="E30" i="11"/>
  <c r="BK23" i="22"/>
  <c r="BL23" i="22"/>
  <c r="BM23" i="22"/>
  <c r="BN23" i="22"/>
  <c r="BO23" i="22"/>
  <c r="BP23" i="22"/>
  <c r="A31" i="11"/>
  <c r="BQ23" i="22"/>
  <c r="B31" i="11"/>
  <c r="BR23" i="22"/>
  <c r="C31" i="11"/>
  <c r="BS23" i="22"/>
  <c r="D31" i="11"/>
  <c r="BT23" i="22"/>
  <c r="E31" i="11"/>
  <c r="BU23" i="22"/>
  <c r="BV23" i="22"/>
  <c r="BW23" i="22"/>
  <c r="BX23" i="22"/>
  <c r="BY23" i="22"/>
  <c r="BZ23" i="22"/>
  <c r="A32" i="11"/>
  <c r="CA23" i="22"/>
  <c r="B32" i="11"/>
  <c r="CB23" i="22"/>
  <c r="C32" i="11"/>
  <c r="CC23" i="22"/>
  <c r="D32" i="11"/>
  <c r="CD23" i="22"/>
  <c r="E32" i="11"/>
  <c r="CE23" i="22"/>
  <c r="CF23" i="22"/>
  <c r="CG23" i="22"/>
  <c r="CH23" i="22"/>
  <c r="CI23" i="22"/>
  <c r="CJ23" i="22"/>
  <c r="A33" i="11"/>
  <c r="CK23" i="22"/>
  <c r="B33" i="11"/>
  <c r="CL23" i="22"/>
  <c r="C33" i="11"/>
  <c r="CM23" i="22"/>
  <c r="D33" i="11"/>
  <c r="CN23" i="22"/>
  <c r="E33" i="11"/>
  <c r="CO23" i="22"/>
  <c r="CP23" i="22"/>
  <c r="CQ23" i="22"/>
  <c r="CR23" i="22"/>
  <c r="CS23" i="22"/>
  <c r="CT23" i="22"/>
  <c r="A34" i="11"/>
  <c r="CU23" i="22"/>
  <c r="B34" i="11"/>
  <c r="CV23" i="22"/>
  <c r="C34" i="11"/>
  <c r="CW23" i="22"/>
  <c r="D34" i="11"/>
  <c r="CX23" i="22"/>
  <c r="E34" i="11"/>
  <c r="CY23" i="22"/>
  <c r="CZ23" i="22"/>
  <c r="DA23" i="22"/>
  <c r="DB23" i="22"/>
  <c r="DC23" i="22"/>
  <c r="DD23" i="22"/>
  <c r="A35" i="11"/>
  <c r="DE23" i="22"/>
  <c r="B35" i="11"/>
  <c r="DF23" i="22"/>
  <c r="C35" i="11"/>
  <c r="DG23" i="22"/>
  <c r="D35" i="11"/>
  <c r="DH23" i="22"/>
  <c r="E35" i="11"/>
  <c r="DI23" i="22"/>
  <c r="DJ23" i="22"/>
  <c r="DK23" i="22"/>
  <c r="DL23" i="22"/>
  <c r="DM23" i="22"/>
  <c r="DN23" i="22"/>
  <c r="A36" i="11"/>
  <c r="DO23" i="22"/>
  <c r="B36" i="11"/>
  <c r="DP23" i="22"/>
  <c r="C36" i="11"/>
  <c r="DQ23" i="22"/>
  <c r="D36" i="11"/>
  <c r="DR23" i="22"/>
  <c r="E36" i="11"/>
  <c r="DS23" i="22"/>
  <c r="DT23" i="22"/>
  <c r="DU23" i="22"/>
  <c r="DV23" i="22"/>
  <c r="DW23" i="22"/>
  <c r="DX23" i="22"/>
  <c r="A37" i="11"/>
  <c r="DY23" i="22"/>
  <c r="B37" i="11"/>
  <c r="DZ23" i="22"/>
  <c r="C37" i="11"/>
  <c r="EA23" i="22"/>
  <c r="D37" i="11"/>
  <c r="EB23" i="22"/>
  <c r="E37" i="11"/>
  <c r="EC23" i="22"/>
  <c r="ED23" i="22"/>
  <c r="EE23" i="22"/>
  <c r="EF23" i="22"/>
  <c r="EG23" i="22"/>
  <c r="EH23" i="22"/>
  <c r="EI23" i="22"/>
  <c r="EJ23" i="22"/>
  <c r="EK23" i="22"/>
  <c r="EL23" i="22"/>
  <c r="EM23" i="22"/>
  <c r="EN23" i="22"/>
  <c r="EO23" i="22"/>
  <c r="EP23" i="22"/>
  <c r="EQ23" i="22"/>
  <c r="ER23" i="22"/>
  <c r="ES23" i="22"/>
  <c r="ET23" i="22"/>
  <c r="EU23" i="22"/>
  <c r="EV23" i="22"/>
  <c r="EW23" i="22"/>
  <c r="EX23" i="22"/>
  <c r="EY23" i="22"/>
  <c r="EZ23" i="22"/>
  <c r="FA23" i="22"/>
  <c r="FB23" i="22"/>
  <c r="A46" i="11"/>
  <c r="FC23" i="22"/>
  <c r="FD23" i="22"/>
  <c r="C46" i="11"/>
  <c r="FE23" i="22"/>
  <c r="D46" i="11"/>
  <c r="FF23" i="22"/>
  <c r="E46" i="11"/>
  <c r="FG23" i="22"/>
  <c r="FH23" i="22"/>
  <c r="FI23" i="22"/>
  <c r="FJ23" i="22"/>
  <c r="FK23" i="22"/>
  <c r="FL23" i="22"/>
  <c r="A47" i="11"/>
  <c r="FM23" i="22"/>
  <c r="B47" i="11"/>
  <c r="FN23" i="22"/>
  <c r="C47" i="11"/>
  <c r="FO23" i="22"/>
  <c r="D47" i="11"/>
  <c r="FP23" i="22"/>
  <c r="E47" i="11"/>
  <c r="FQ23" i="22"/>
  <c r="FR23" i="22"/>
  <c r="FS23" i="22"/>
  <c r="FT23" i="22"/>
  <c r="FU23" i="22"/>
  <c r="FV23" i="22"/>
  <c r="A48" i="11"/>
  <c r="FW23" i="22"/>
  <c r="B48" i="11"/>
  <c r="FX23" i="22"/>
  <c r="C48" i="11"/>
  <c r="FY23" i="22"/>
  <c r="D48" i="11"/>
  <c r="FZ23" i="22"/>
  <c r="E48" i="11"/>
  <c r="GA23" i="22"/>
  <c r="GB23" i="22"/>
  <c r="GC23" i="22"/>
  <c r="GD23" i="22"/>
  <c r="GE23" i="22"/>
  <c r="GF23" i="22"/>
  <c r="A49" i="11"/>
  <c r="GG23" i="22"/>
  <c r="B49" i="11"/>
  <c r="GH23" i="22"/>
  <c r="C49" i="11"/>
  <c r="GI23" i="22"/>
  <c r="D49" i="11"/>
  <c r="GJ23" i="22"/>
  <c r="E49" i="11"/>
  <c r="GK23" i="22"/>
  <c r="GL23" i="22"/>
  <c r="GM23" i="22"/>
  <c r="GN23" i="22"/>
  <c r="GO23" i="22"/>
  <c r="GP23" i="22"/>
  <c r="A50" i="11"/>
  <c r="GQ23" i="22"/>
  <c r="B50" i="11"/>
  <c r="GR23" i="22"/>
  <c r="C50" i="11"/>
  <c r="GS23" i="22"/>
  <c r="D50" i="11"/>
  <c r="GT23" i="22"/>
  <c r="E50" i="11"/>
  <c r="GU23" i="22"/>
  <c r="GV23" i="22"/>
  <c r="GW23" i="22"/>
  <c r="GX23" i="22"/>
  <c r="GY23" i="22"/>
  <c r="GZ23" i="22"/>
  <c r="A51" i="11"/>
  <c r="HA23" i="22"/>
  <c r="B51" i="11"/>
  <c r="HB23" i="22"/>
  <c r="C51" i="11"/>
  <c r="HC23" i="22"/>
  <c r="D51" i="11"/>
  <c r="HD23" i="22"/>
  <c r="E51" i="11"/>
  <c r="HE23" i="22"/>
  <c r="HF23" i="22"/>
  <c r="HG23" i="22"/>
  <c r="HH23" i="22"/>
  <c r="HI23" i="22"/>
  <c r="HJ23" i="22"/>
  <c r="A52" i="11"/>
  <c r="HK23" i="22"/>
  <c r="B52" i="11"/>
  <c r="HL23" i="22"/>
  <c r="C52" i="11"/>
  <c r="HM23" i="22"/>
  <c r="D52" i="11"/>
  <c r="HN23" i="22"/>
  <c r="E52" i="11"/>
  <c r="HO23" i="22"/>
  <c r="HP23" i="22"/>
  <c r="HQ23" i="22"/>
  <c r="HR23" i="22"/>
  <c r="HS23" i="22"/>
  <c r="HT23" i="22"/>
  <c r="A53" i="11"/>
  <c r="HU23" i="22"/>
  <c r="B53" i="11"/>
  <c r="HV23" i="22"/>
  <c r="C53" i="11"/>
  <c r="HW23" i="22"/>
  <c r="D53" i="11"/>
  <c r="HX23" i="22"/>
  <c r="E53" i="11"/>
  <c r="HY23" i="22"/>
  <c r="HZ23" i="22"/>
  <c r="IA23" i="22"/>
  <c r="IB23" i="22"/>
  <c r="IC23" i="22"/>
  <c r="ID23" i="22"/>
  <c r="A62" i="11"/>
  <c r="IE23" i="22"/>
  <c r="B62" i="11"/>
  <c r="IF23" i="22"/>
  <c r="C62" i="11"/>
  <c r="IG23" i="22"/>
  <c r="D62" i="11"/>
  <c r="IH23" i="22"/>
  <c r="E62" i="11"/>
  <c r="II23" i="22"/>
  <c r="IJ23" i="22"/>
  <c r="IK23" i="22"/>
  <c r="IL23" i="22"/>
  <c r="IM23" i="22"/>
  <c r="IN23" i="22"/>
  <c r="A63" i="11"/>
  <c r="IO23" i="22"/>
  <c r="B63" i="11"/>
  <c r="IP23" i="22"/>
  <c r="C63" i="11"/>
  <c r="IQ23" i="22"/>
  <c r="D63" i="11"/>
  <c r="IR23" i="22"/>
  <c r="E63" i="11"/>
  <c r="IS23" i="22"/>
  <c r="IT23" i="22"/>
  <c r="IU23" i="22"/>
  <c r="IV23" i="22"/>
  <c r="A22" i="22"/>
  <c r="B22" i="22"/>
  <c r="C22" i="22"/>
  <c r="A13" i="11"/>
  <c r="E22" i="22"/>
  <c r="B13" i="11"/>
  <c r="F22" i="22"/>
  <c r="C13" i="11"/>
  <c r="G22" i="22"/>
  <c r="D13" i="11"/>
  <c r="H22" i="22"/>
  <c r="E13" i="11"/>
  <c r="I22" i="22"/>
  <c r="J22" i="22"/>
  <c r="K22" i="22"/>
  <c r="L22" i="22"/>
  <c r="M22" i="22"/>
  <c r="N22" i="22"/>
  <c r="O22" i="22"/>
  <c r="P22" i="22"/>
  <c r="Q22" i="22"/>
  <c r="R22" i="22"/>
  <c r="S22" i="22"/>
  <c r="T22" i="22"/>
  <c r="U22" i="22"/>
  <c r="V22" i="22"/>
  <c r="W22" i="22"/>
  <c r="X22" i="22"/>
  <c r="Y22" i="22"/>
  <c r="Z22" i="22"/>
  <c r="AA22" i="22"/>
  <c r="AB22" i="22"/>
  <c r="AC22" i="22"/>
  <c r="AD22" i="22"/>
  <c r="AE22" i="22"/>
  <c r="AF22" i="22"/>
  <c r="AG22" i="22"/>
  <c r="AH22" i="22"/>
  <c r="A22" i="11"/>
  <c r="AI22" i="22"/>
  <c r="B22" i="11"/>
  <c r="AJ22" i="22"/>
  <c r="C22" i="11"/>
  <c r="AK22" i="22"/>
  <c r="D22" i="11"/>
  <c r="AL22" i="22"/>
  <c r="E22" i="11"/>
  <c r="AM22" i="22"/>
  <c r="AN22" i="22"/>
  <c r="AO22" i="22"/>
  <c r="AP22" i="22"/>
  <c r="AQ22" i="22"/>
  <c r="AR22" i="22"/>
  <c r="A23" i="11"/>
  <c r="AS22" i="22"/>
  <c r="B23" i="11"/>
  <c r="AT22" i="22"/>
  <c r="C23" i="11"/>
  <c r="AU22" i="22"/>
  <c r="D23" i="11"/>
  <c r="AV22" i="22"/>
  <c r="E23" i="11"/>
  <c r="AW22" i="22"/>
  <c r="AX22" i="22"/>
  <c r="AY22" i="22"/>
  <c r="AZ22" i="22"/>
  <c r="BA22" i="22"/>
  <c r="BB22" i="22"/>
  <c r="A24" i="11"/>
  <c r="BC22" i="22"/>
  <c r="B24" i="11"/>
  <c r="BD22" i="22"/>
  <c r="C24" i="11"/>
  <c r="BE22" i="22"/>
  <c r="D24" i="11"/>
  <c r="BF22" i="22"/>
  <c r="E24" i="11"/>
  <c r="BG22" i="22"/>
  <c r="BH22" i="22"/>
  <c r="BI22" i="22"/>
  <c r="BJ22" i="22"/>
  <c r="BK22" i="22"/>
  <c r="BL22" i="22"/>
  <c r="A25" i="11"/>
  <c r="BM22" i="22"/>
  <c r="B25" i="11"/>
  <c r="BN22" i="22"/>
  <c r="C25" i="11"/>
  <c r="BO22" i="22"/>
  <c r="D25" i="11"/>
  <c r="BP22" i="22"/>
  <c r="E25" i="11"/>
  <c r="BQ22" i="22"/>
  <c r="BR22" i="22"/>
  <c r="BS22" i="22"/>
  <c r="BT22" i="22"/>
  <c r="BU22" i="22"/>
  <c r="BV22" i="22"/>
  <c r="A26" i="11"/>
  <c r="BW22" i="22"/>
  <c r="B26" i="11"/>
  <c r="BX22" i="22"/>
  <c r="C26" i="11"/>
  <c r="BY22" i="22"/>
  <c r="D26" i="11"/>
  <c r="BZ22" i="22"/>
  <c r="E26" i="11"/>
  <c r="CA22" i="22"/>
  <c r="CB22" i="22"/>
  <c r="CC22" i="22"/>
  <c r="CD22" i="22"/>
  <c r="CE22" i="22"/>
  <c r="CF22" i="22"/>
  <c r="A27" i="11"/>
  <c r="CG22" i="22"/>
  <c r="B27" i="11"/>
  <c r="CH22" i="22"/>
  <c r="C27" i="11"/>
  <c r="CI22" i="22"/>
  <c r="D27" i="11"/>
  <c r="CJ22" i="22"/>
  <c r="E27" i="11"/>
  <c r="CK22" i="22"/>
  <c r="CL22" i="22"/>
  <c r="CM22" i="22"/>
  <c r="CN22" i="22"/>
  <c r="CO22" i="22"/>
  <c r="CP22" i="22"/>
  <c r="A28" i="11"/>
  <c r="CQ22" i="22"/>
  <c r="B28" i="11"/>
  <c r="CR22" i="22"/>
  <c r="C28" i="11"/>
  <c r="CS22" i="22"/>
  <c r="D28" i="11"/>
  <c r="CT22" i="22"/>
  <c r="E28" i="11"/>
  <c r="CU22" i="22"/>
  <c r="CV22" i="22"/>
  <c r="CW22" i="22"/>
  <c r="CX22" i="22"/>
  <c r="CY22" i="22"/>
  <c r="CZ22" i="22"/>
  <c r="A29" i="11"/>
  <c r="DA22" i="22"/>
  <c r="B29" i="11"/>
  <c r="DB22" i="22"/>
  <c r="C29" i="11"/>
  <c r="DC22" i="22"/>
  <c r="D29" i="11"/>
  <c r="DD22" i="22"/>
  <c r="E29" i="11"/>
  <c r="DE22" i="22"/>
  <c r="DF22" i="22"/>
  <c r="DG22" i="22"/>
  <c r="DH22" i="22"/>
  <c r="DI22" i="22"/>
  <c r="DJ22" i="22"/>
  <c r="DK22" i="22"/>
  <c r="DL22" i="22"/>
  <c r="DM22" i="22"/>
  <c r="DN22" i="22"/>
  <c r="DO22" i="22"/>
  <c r="DP22" i="22"/>
  <c r="DQ22" i="22"/>
  <c r="DR22" i="22"/>
  <c r="DS22" i="22"/>
  <c r="DT22" i="22"/>
  <c r="DU22" i="22"/>
  <c r="DV22" i="22"/>
  <c r="DW22" i="22"/>
  <c r="DX22" i="22"/>
  <c r="DY22" i="22"/>
  <c r="DZ22" i="22"/>
  <c r="EA22" i="22"/>
  <c r="EB22" i="22"/>
  <c r="EC22" i="22"/>
  <c r="ED22" i="22"/>
  <c r="A38" i="11"/>
  <c r="EE22" i="22"/>
  <c r="B38" i="11"/>
  <c r="EF22" i="22"/>
  <c r="C38" i="11"/>
  <c r="EG22" i="22"/>
  <c r="D38" i="11"/>
  <c r="EH22" i="22"/>
  <c r="E38" i="11"/>
  <c r="EI22" i="22"/>
  <c r="EJ22" i="22"/>
  <c r="EK22" i="22"/>
  <c r="EL22" i="22"/>
  <c r="EM22" i="22"/>
  <c r="EN22" i="22"/>
  <c r="A39" i="11"/>
  <c r="EO22" i="22"/>
  <c r="B39" i="11"/>
  <c r="EP22" i="22"/>
  <c r="C39" i="11"/>
  <c r="EQ22" i="22"/>
  <c r="D39" i="11"/>
  <c r="ER22" i="22"/>
  <c r="E39" i="11"/>
  <c r="ES22" i="22"/>
  <c r="ET22" i="22"/>
  <c r="EU22" i="22"/>
  <c r="EV22" i="22"/>
  <c r="EW22" i="22"/>
  <c r="EX22" i="22"/>
  <c r="A40" i="11"/>
  <c r="EY22" i="22"/>
  <c r="B40" i="11"/>
  <c r="EZ22" i="22"/>
  <c r="C40" i="11"/>
  <c r="FA22" i="22"/>
  <c r="D40" i="11"/>
  <c r="FB22" i="22"/>
  <c r="E40" i="11"/>
  <c r="FC22" i="22"/>
  <c r="FD22" i="22"/>
  <c r="FE22" i="22"/>
  <c r="FF22" i="22"/>
  <c r="FG22" i="22"/>
  <c r="FH22" i="22"/>
  <c r="A41" i="11"/>
  <c r="FI22" i="22"/>
  <c r="B41" i="11"/>
  <c r="FJ22" i="22"/>
  <c r="C41" i="11"/>
  <c r="FK22" i="22"/>
  <c r="D41" i="11"/>
  <c r="FL22" i="22"/>
  <c r="E41" i="11"/>
  <c r="FM22" i="22"/>
  <c r="FN22" i="22"/>
  <c r="FO22" i="22"/>
  <c r="FP22" i="22"/>
  <c r="FQ22" i="22"/>
  <c r="FR22" i="22"/>
  <c r="A42" i="11"/>
  <c r="FS22" i="22"/>
  <c r="B42" i="11"/>
  <c r="FT22" i="22"/>
  <c r="C42" i="11"/>
  <c r="FU22" i="22"/>
  <c r="D42" i="11"/>
  <c r="FV22" i="22"/>
  <c r="E42" i="11"/>
  <c r="FW22" i="22"/>
  <c r="FX22" i="22"/>
  <c r="FY22" i="22"/>
  <c r="FZ22" i="22"/>
  <c r="GA22" i="22"/>
  <c r="GB22" i="22"/>
  <c r="A43" i="11"/>
  <c r="GC22" i="22"/>
  <c r="B43" i="11"/>
  <c r="GD22" i="22"/>
  <c r="C43" i="11"/>
  <c r="GE22" i="22"/>
  <c r="D43" i="11"/>
  <c r="GF22" i="22"/>
  <c r="E43" i="11"/>
  <c r="GG22" i="22"/>
  <c r="GH22" i="22"/>
  <c r="GI22" i="22"/>
  <c r="GJ22" i="22"/>
  <c r="GK22" i="22"/>
  <c r="GL22" i="22"/>
  <c r="A44" i="11"/>
  <c r="GM22" i="22"/>
  <c r="B44" i="11"/>
  <c r="GN22" i="22"/>
  <c r="C44" i="11"/>
  <c r="GO22" i="22"/>
  <c r="D44" i="11"/>
  <c r="GP22" i="22"/>
  <c r="E44" i="11"/>
  <c r="GQ22" i="22"/>
  <c r="GR22" i="22"/>
  <c r="GS22" i="22"/>
  <c r="GT22" i="22"/>
  <c r="GU22" i="22"/>
  <c r="GV22" i="22"/>
  <c r="A45" i="11"/>
  <c r="GW22" i="22"/>
  <c r="B45" i="11"/>
  <c r="GX22" i="22"/>
  <c r="C45" i="11"/>
  <c r="GY22" i="22"/>
  <c r="D45" i="11"/>
  <c r="GZ22" i="22"/>
  <c r="E45" i="11"/>
  <c r="HA22" i="22"/>
  <c r="HB22" i="22"/>
  <c r="HC22" i="22"/>
  <c r="HD22" i="22"/>
  <c r="HE22" i="22"/>
  <c r="HF22" i="22"/>
  <c r="A14" i="11"/>
  <c r="HG22" i="22"/>
  <c r="B14" i="11"/>
  <c r="HH22" i="22"/>
  <c r="C14" i="11"/>
  <c r="HI22" i="22"/>
  <c r="D14" i="11"/>
  <c r="HJ22" i="22"/>
  <c r="E14" i="11"/>
  <c r="HK22" i="22"/>
  <c r="HL22" i="22"/>
  <c r="HM22" i="22"/>
  <c r="HN22" i="22"/>
  <c r="HO22" i="22"/>
  <c r="HP22" i="22"/>
  <c r="A15" i="11"/>
  <c r="HQ22" i="22"/>
  <c r="B15" i="11"/>
  <c r="HR22" i="22"/>
  <c r="C15" i="11"/>
  <c r="HS22" i="22"/>
  <c r="D15" i="11"/>
  <c r="HT22" i="22"/>
  <c r="E15" i="11"/>
  <c r="HU22" i="22"/>
  <c r="HV22" i="22"/>
  <c r="HW22" i="22"/>
  <c r="HX22" i="22"/>
  <c r="HY22" i="22"/>
  <c r="HZ22" i="22"/>
  <c r="A16" i="11"/>
  <c r="IA22" i="22"/>
  <c r="B16" i="11"/>
  <c r="IB22" i="22"/>
  <c r="C16" i="11"/>
  <c r="IC22" i="22"/>
  <c r="D16" i="11"/>
  <c r="ID22" i="22"/>
  <c r="E16" i="11"/>
  <c r="IE22" i="22"/>
  <c r="IF22" i="22"/>
  <c r="IG22" i="22"/>
  <c r="IH22" i="22"/>
  <c r="II22" i="22"/>
  <c r="IJ22" i="22"/>
  <c r="A17" i="11"/>
  <c r="IK22" i="22"/>
  <c r="B17" i="11"/>
  <c r="IL22" i="22"/>
  <c r="C17" i="11"/>
  <c r="IM22" i="22"/>
  <c r="D17" i="11"/>
  <c r="IN22" i="22"/>
  <c r="E17" i="11"/>
  <c r="IO22" i="22"/>
  <c r="IP22" i="22"/>
  <c r="IQ22" i="22"/>
  <c r="IR22" i="22"/>
  <c r="IS22" i="22"/>
  <c r="IT22" i="22"/>
  <c r="A18" i="11"/>
  <c r="IU22" i="22"/>
  <c r="B18" i="11"/>
  <c r="IV22" i="22"/>
  <c r="A21" i="22"/>
  <c r="B21" i="22"/>
  <c r="C21" i="22"/>
  <c r="D21" i="22"/>
  <c r="E21" i="22"/>
  <c r="A11" i="10"/>
  <c r="F21" i="22"/>
  <c r="G21" i="22"/>
  <c r="H21" i="22"/>
  <c r="I21" i="22"/>
  <c r="J21" i="22"/>
  <c r="K21" i="22"/>
  <c r="L21" i="22"/>
  <c r="M21" i="22"/>
  <c r="N21" i="22"/>
  <c r="O21" i="22"/>
  <c r="P21" i="22"/>
  <c r="Q21" i="22"/>
  <c r="R21" i="22"/>
  <c r="A12" i="10"/>
  <c r="S21" i="22"/>
  <c r="T21" i="22"/>
  <c r="U21" i="22"/>
  <c r="V21" i="22"/>
  <c r="W21" i="22"/>
  <c r="X21" i="22"/>
  <c r="Y21" i="22"/>
  <c r="Z21" i="22"/>
  <c r="AA21" i="22"/>
  <c r="AB21" i="22"/>
  <c r="AC21" i="22"/>
  <c r="AD21" i="22"/>
  <c r="AE21" i="22"/>
  <c r="A13" i="10"/>
  <c r="AF21" i="22"/>
  <c r="AG21" i="22"/>
  <c r="AH21" i="22"/>
  <c r="AI21" i="22"/>
  <c r="AJ21" i="22"/>
  <c r="AK21" i="22"/>
  <c r="AL21" i="22"/>
  <c r="AM21" i="22"/>
  <c r="AN21" i="22"/>
  <c r="AO21" i="22"/>
  <c r="AP21" i="22"/>
  <c r="AQ21" i="22"/>
  <c r="AR21" i="22"/>
  <c r="A14" i="10"/>
  <c r="AS21" i="22"/>
  <c r="AT21" i="22"/>
  <c r="AU21" i="22"/>
  <c r="AV21" i="22"/>
  <c r="AW21" i="22"/>
  <c r="AX21" i="22"/>
  <c r="AY21" i="22"/>
  <c r="AZ21" i="22"/>
  <c r="BA21" i="22"/>
  <c r="BB21" i="22"/>
  <c r="BC21" i="22"/>
  <c r="BD21" i="22"/>
  <c r="BE21" i="22"/>
  <c r="A15" i="10"/>
  <c r="BF21" i="22"/>
  <c r="BG21" i="22"/>
  <c r="BH21" i="22"/>
  <c r="BI21" i="22"/>
  <c r="BJ21" i="22"/>
  <c r="BK21" i="22"/>
  <c r="BL21" i="22"/>
  <c r="BM21" i="22"/>
  <c r="BN21" i="22"/>
  <c r="BO21" i="22"/>
  <c r="BP21" i="22"/>
  <c r="BQ21" i="22"/>
  <c r="BR21" i="22"/>
  <c r="A16" i="10"/>
  <c r="BS21" i="22"/>
  <c r="BT21" i="22"/>
  <c r="BU21" i="22"/>
  <c r="BV21" i="22"/>
  <c r="BW21" i="22"/>
  <c r="BX21" i="22"/>
  <c r="BY21" i="22"/>
  <c r="BZ21" i="22"/>
  <c r="CA21" i="22"/>
  <c r="CB21" i="22"/>
  <c r="CC21" i="22"/>
  <c r="CD21" i="22"/>
  <c r="CE21" i="22"/>
  <c r="A17" i="10"/>
  <c r="CF21" i="22"/>
  <c r="CG21" i="22"/>
  <c r="CH21" i="22"/>
  <c r="CI21" i="22"/>
  <c r="CJ21" i="22"/>
  <c r="CK21" i="22"/>
  <c r="CL21" i="22"/>
  <c r="CM21" i="22"/>
  <c r="CN21" i="22"/>
  <c r="CO21" i="22"/>
  <c r="CP21" i="22"/>
  <c r="CQ21" i="22"/>
  <c r="CR21" i="22"/>
  <c r="A18" i="10"/>
  <c r="CS21" i="22"/>
  <c r="CT21" i="22"/>
  <c r="CU21" i="22"/>
  <c r="CV21" i="22"/>
  <c r="CW21" i="22"/>
  <c r="CX21" i="22"/>
  <c r="CY21" i="22"/>
  <c r="CZ21" i="22"/>
  <c r="DA21" i="22"/>
  <c r="DB21" i="22"/>
  <c r="DC21" i="22"/>
  <c r="DD21" i="22"/>
  <c r="DE21" i="22"/>
  <c r="A19" i="10"/>
  <c r="DF21" i="22"/>
  <c r="DG21" i="22"/>
  <c r="DH21" i="22"/>
  <c r="DI21" i="22"/>
  <c r="DJ21" i="22"/>
  <c r="DK21" i="22"/>
  <c r="DL21" i="22"/>
  <c r="DM21" i="22"/>
  <c r="DN21" i="22"/>
  <c r="DO21" i="22"/>
  <c r="DP21" i="22"/>
  <c r="DQ21" i="22"/>
  <c r="DR21" i="22"/>
  <c r="A20" i="10"/>
  <c r="DS21" i="22"/>
  <c r="DT21" i="22"/>
  <c r="DU21" i="22"/>
  <c r="DV21" i="22"/>
  <c r="DW21" i="22"/>
  <c r="DX21" i="22"/>
  <c r="DY21" i="22"/>
  <c r="DZ21" i="22"/>
  <c r="EA21" i="22"/>
  <c r="EB21" i="22"/>
  <c r="EC21" i="22"/>
  <c r="ED21" i="22"/>
  <c r="EE21" i="22"/>
  <c r="EF21" i="22"/>
  <c r="EG21" i="22"/>
  <c r="EH21" i="22"/>
  <c r="EI21" i="22"/>
  <c r="EJ21" i="22"/>
  <c r="EK21" i="22"/>
  <c r="EL21" i="22"/>
  <c r="EM21" i="22"/>
  <c r="EN21" i="22"/>
  <c r="EO21" i="22"/>
  <c r="EP21" i="22"/>
  <c r="EQ21" i="22"/>
  <c r="ER21" i="22"/>
  <c r="ES21" i="22"/>
  <c r="ET21" i="22"/>
  <c r="EU21" i="22"/>
  <c r="EV21" i="22"/>
  <c r="EW21" i="22"/>
  <c r="EX21" i="22"/>
  <c r="EY21" i="22"/>
  <c r="EZ21" i="22"/>
  <c r="FA21" i="22"/>
  <c r="FB21" i="22"/>
  <c r="FC21" i="22"/>
  <c r="FD21" i="22"/>
  <c r="FE21" i="22"/>
  <c r="FF21" i="22"/>
  <c r="FG21" i="22"/>
  <c r="FH21" i="22"/>
  <c r="FI21" i="22"/>
  <c r="FJ21" i="22"/>
  <c r="FK21" i="22"/>
  <c r="FL21" i="22"/>
  <c r="FM21" i="22"/>
  <c r="FN21" i="22"/>
  <c r="FO21" i="22"/>
  <c r="FP21" i="22"/>
  <c r="FQ21" i="22"/>
  <c r="FR21" i="22"/>
  <c r="FS21" i="22"/>
  <c r="FT21" i="22"/>
  <c r="FU21" i="22"/>
  <c r="FV21" i="22"/>
  <c r="FW21" i="22"/>
  <c r="FX21" i="22"/>
  <c r="FY21" i="22"/>
  <c r="FZ21" i="22"/>
  <c r="GA21" i="22"/>
  <c r="GB21" i="22"/>
  <c r="GC21" i="22"/>
  <c r="GD21" i="22"/>
  <c r="GE21" i="22"/>
  <c r="GF21" i="22"/>
  <c r="GG21" i="22"/>
  <c r="GH21" i="22"/>
  <c r="A6" i="11"/>
  <c r="GI21" i="22"/>
  <c r="B6" i="11"/>
  <c r="GJ21" i="22"/>
  <c r="C6" i="11"/>
  <c r="GK21" i="22"/>
  <c r="D6" i="11"/>
  <c r="GL21" i="22"/>
  <c r="E6" i="11"/>
  <c r="GM21" i="22"/>
  <c r="GN21" i="22"/>
  <c r="GO21" i="22"/>
  <c r="GP21" i="22"/>
  <c r="GQ21" i="22"/>
  <c r="GR21" i="22"/>
  <c r="A7" i="11"/>
  <c r="GS21" i="22"/>
  <c r="B7" i="11"/>
  <c r="GT21" i="22"/>
  <c r="C7" i="11"/>
  <c r="GU21" i="22"/>
  <c r="D7" i="11"/>
  <c r="GV21" i="22"/>
  <c r="E7" i="11"/>
  <c r="GW21" i="22"/>
  <c r="GX21" i="22"/>
  <c r="GY21" i="22"/>
  <c r="GZ21" i="22"/>
  <c r="HA21" i="22"/>
  <c r="HB21" i="22"/>
  <c r="A8" i="11"/>
  <c r="HC21" i="22"/>
  <c r="B8" i="11"/>
  <c r="HD21" i="22"/>
  <c r="C8" i="11"/>
  <c r="HE21" i="22"/>
  <c r="D8" i="11"/>
  <c r="HF21" i="22"/>
  <c r="E8" i="11"/>
  <c r="HG21" i="22"/>
  <c r="HH21" i="22"/>
  <c r="HI21" i="22"/>
  <c r="HJ21" i="22"/>
  <c r="HK21" i="22"/>
  <c r="HL21" i="22"/>
  <c r="A9" i="11"/>
  <c r="HM21" i="22"/>
  <c r="B9" i="11"/>
  <c r="HN21" i="22"/>
  <c r="C9" i="11"/>
  <c r="HO21" i="22"/>
  <c r="D9" i="11"/>
  <c r="HP21" i="22"/>
  <c r="E9" i="11"/>
  <c r="HQ21" i="22"/>
  <c r="HR21" i="22"/>
  <c r="HS21" i="22"/>
  <c r="HT21" i="22"/>
  <c r="HU21" i="22"/>
  <c r="HV21" i="22"/>
  <c r="A10" i="11"/>
  <c r="HW21" i="22"/>
  <c r="B10" i="11"/>
  <c r="HX21" i="22"/>
  <c r="C10" i="11"/>
  <c r="HY21" i="22"/>
  <c r="D10" i="11"/>
  <c r="HZ21" i="22"/>
  <c r="E10" i="11"/>
  <c r="IA21" i="22"/>
  <c r="IB21" i="22"/>
  <c r="IC21" i="22"/>
  <c r="ID21" i="22"/>
  <c r="IE21" i="22"/>
  <c r="IF21" i="22"/>
  <c r="A11" i="11"/>
  <c r="IG21" i="22"/>
  <c r="B11" i="11"/>
  <c r="IH21" i="22"/>
  <c r="C11" i="11"/>
  <c r="II21" i="22"/>
  <c r="D11" i="11"/>
  <c r="IJ21" i="22"/>
  <c r="E11" i="11"/>
  <c r="IK21" i="22"/>
  <c r="IL21" i="22"/>
  <c r="IM21" i="22"/>
  <c r="IN21" i="22"/>
  <c r="IO21" i="22"/>
  <c r="IP21" i="22"/>
  <c r="A12" i="11"/>
  <c r="IQ21" i="22"/>
  <c r="B12" i="11"/>
  <c r="IR21" i="22"/>
  <c r="C12" i="11"/>
  <c r="IS21" i="22"/>
  <c r="D12" i="11"/>
  <c r="IT21" i="22"/>
  <c r="E12" i="11"/>
  <c r="IU21" i="22"/>
  <c r="IV21" i="22"/>
  <c r="A20" i="22"/>
  <c r="B20" i="22"/>
  <c r="C20" i="22"/>
  <c r="D20" i="22"/>
  <c r="E20" i="22"/>
  <c r="F20" i="22"/>
  <c r="G20" i="22"/>
  <c r="H20" i="22"/>
  <c r="I20" i="22"/>
  <c r="J20" i="22"/>
  <c r="E35" i="17"/>
  <c r="K20" i="22"/>
  <c r="L20" i="22"/>
  <c r="G35" i="17"/>
  <c r="M20" i="22"/>
  <c r="N20" i="22"/>
  <c r="I35" i="17"/>
  <c r="O20" i="22"/>
  <c r="P20" i="22"/>
  <c r="K35" i="17"/>
  <c r="Q20" i="22"/>
  <c r="R20" i="22"/>
  <c r="S20" i="22"/>
  <c r="T20" i="22"/>
  <c r="U20" i="22"/>
  <c r="V20" i="22"/>
  <c r="W20" i="22"/>
  <c r="X20" i="22"/>
  <c r="Y20" i="22"/>
  <c r="Z20" i="22"/>
  <c r="AA20" i="22"/>
  <c r="AB20" i="22"/>
  <c r="AC20" i="22"/>
  <c r="AD20" i="22"/>
  <c r="AE20" i="22"/>
  <c r="AF20" i="22"/>
  <c r="AG20" i="22"/>
  <c r="AH20" i="22"/>
  <c r="AI20" i="22"/>
  <c r="AJ20" i="22"/>
  <c r="AK20" i="22"/>
  <c r="AL20" i="22"/>
  <c r="E37" i="17"/>
  <c r="AM20" i="22"/>
  <c r="AN20" i="22"/>
  <c r="G37" i="17"/>
  <c r="AO20" i="22"/>
  <c r="AP20" i="22"/>
  <c r="I37" i="17"/>
  <c r="AQ20" i="22"/>
  <c r="AR20" i="22"/>
  <c r="K37" i="17"/>
  <c r="AS20" i="22"/>
  <c r="AT20" i="22"/>
  <c r="AU20" i="22"/>
  <c r="AV20" i="22"/>
  <c r="AW20" i="22"/>
  <c r="AX20" i="22"/>
  <c r="AY20" i="22"/>
  <c r="AZ20" i="22"/>
  <c r="E38" i="17"/>
  <c r="BA20" i="22"/>
  <c r="BB20" i="22"/>
  <c r="G38" i="17"/>
  <c r="BC20" i="22"/>
  <c r="BD20" i="22"/>
  <c r="I38" i="17"/>
  <c r="BE20" i="22"/>
  <c r="BF20" i="22"/>
  <c r="K38" i="17"/>
  <c r="BG20" i="22"/>
  <c r="BH20" i="22"/>
  <c r="BI20" i="22"/>
  <c r="BJ20" i="22"/>
  <c r="BK20" i="22"/>
  <c r="BL20" i="22"/>
  <c r="BM20" i="22"/>
  <c r="BN20" i="22"/>
  <c r="E39" i="17"/>
  <c r="BO20" i="22"/>
  <c r="BP20" i="22"/>
  <c r="G39" i="17"/>
  <c r="BQ20" i="22"/>
  <c r="BR20" i="22"/>
  <c r="I39" i="17"/>
  <c r="BS20" i="22"/>
  <c r="BT20" i="22"/>
  <c r="K39" i="17"/>
  <c r="BU20" i="22"/>
  <c r="BV20" i="22"/>
  <c r="BW20" i="22"/>
  <c r="BX20" i="22"/>
  <c r="BY20" i="22"/>
  <c r="BZ20" i="22"/>
  <c r="CA20" i="22"/>
  <c r="CB20" i="22"/>
  <c r="E40" i="17"/>
  <c r="CC20" i="22"/>
  <c r="CD20" i="22"/>
  <c r="G40" i="17"/>
  <c r="CE20" i="22"/>
  <c r="CF20" i="22"/>
  <c r="I40" i="17"/>
  <c r="CG20" i="22"/>
  <c r="CH20" i="22"/>
  <c r="K40" i="17"/>
  <c r="CI20" i="22"/>
  <c r="CJ20" i="22"/>
  <c r="CK20" i="22"/>
  <c r="CL20" i="22"/>
  <c r="CM20" i="22"/>
  <c r="CN20" i="22"/>
  <c r="CO20" i="22"/>
  <c r="CP20" i="22"/>
  <c r="E41" i="17"/>
  <c r="CQ20" i="22"/>
  <c r="CR20" i="22"/>
  <c r="G41" i="17"/>
  <c r="CS20" i="22"/>
  <c r="CT20" i="22"/>
  <c r="I41" i="17"/>
  <c r="CU20" i="22"/>
  <c r="CV20" i="22"/>
  <c r="K41" i="17"/>
  <c r="CW20" i="22"/>
  <c r="CX20" i="22"/>
  <c r="CY20" i="22"/>
  <c r="CZ20" i="22"/>
  <c r="DA20" i="22"/>
  <c r="DB20" i="22"/>
  <c r="DC20" i="22"/>
  <c r="DD20" i="22"/>
  <c r="E42" i="17"/>
  <c r="DE20" i="22"/>
  <c r="DF20" i="22"/>
  <c r="G42" i="17"/>
  <c r="DG20" i="22"/>
  <c r="DH20" i="22"/>
  <c r="I42" i="17"/>
  <c r="DI20" i="22"/>
  <c r="DJ20" i="22"/>
  <c r="K42" i="17"/>
  <c r="DK20" i="22"/>
  <c r="DL20" i="22"/>
  <c r="DM20" i="22"/>
  <c r="DN20" i="22"/>
  <c r="DO20" i="22"/>
  <c r="DP20" i="22"/>
  <c r="DQ20" i="22"/>
  <c r="DS20" i="22"/>
  <c r="DU20" i="22"/>
  <c r="DW20" i="22"/>
  <c r="DY20" i="22"/>
  <c r="EA20" i="22"/>
  <c r="EB20" i="22"/>
  <c r="EC20" i="22"/>
  <c r="ED20" i="22"/>
  <c r="EE20" i="22"/>
  <c r="EF20" i="22"/>
  <c r="EG20" i="22"/>
  <c r="EH20" i="22"/>
  <c r="EI20" i="22"/>
  <c r="EJ20" i="22"/>
  <c r="EK20" i="22"/>
  <c r="EL20" i="22"/>
  <c r="EM20" i="22"/>
  <c r="EN20" i="22"/>
  <c r="EO20" i="22"/>
  <c r="EP20" i="22"/>
  <c r="EQ20" i="22"/>
  <c r="ER20" i="22"/>
  <c r="ES20" i="22"/>
  <c r="ET20" i="22"/>
  <c r="EU20" i="22"/>
  <c r="EV20" i="22"/>
  <c r="EW20" i="22"/>
  <c r="EX20" i="22"/>
  <c r="EY20" i="22"/>
  <c r="EZ20" i="22"/>
  <c r="FA20" i="22"/>
  <c r="FB20" i="22"/>
  <c r="FC20" i="22"/>
  <c r="FD20" i="22"/>
  <c r="FE20" i="22"/>
  <c r="FF20" i="22"/>
  <c r="FG20" i="22"/>
  <c r="FH20" i="22"/>
  <c r="FI20" i="22"/>
  <c r="FJ20" i="22"/>
  <c r="FK20" i="22"/>
  <c r="FL20" i="22"/>
  <c r="FM20" i="22"/>
  <c r="FN20" i="22"/>
  <c r="A4" i="10"/>
  <c r="FO20" i="22"/>
  <c r="FP20" i="22"/>
  <c r="FQ20" i="22"/>
  <c r="FR20" i="22"/>
  <c r="FS20" i="22"/>
  <c r="FT20" i="22"/>
  <c r="FU20" i="22"/>
  <c r="FV20" i="22"/>
  <c r="FW20" i="22"/>
  <c r="FX20" i="22"/>
  <c r="FY20" i="22"/>
  <c r="FZ20" i="22"/>
  <c r="GA20" i="22"/>
  <c r="A5" i="10"/>
  <c r="GB20" i="22"/>
  <c r="GC20" i="22"/>
  <c r="GD20" i="22"/>
  <c r="GE20" i="22"/>
  <c r="GF20" i="22"/>
  <c r="GG20" i="22"/>
  <c r="GH20" i="22"/>
  <c r="GI20" i="22"/>
  <c r="GJ20" i="22"/>
  <c r="GK20" i="22"/>
  <c r="GL20" i="22"/>
  <c r="GM20" i="22"/>
  <c r="GN20" i="22"/>
  <c r="A6" i="10"/>
  <c r="GO20" i="22"/>
  <c r="GP20" i="22"/>
  <c r="GQ20" i="22"/>
  <c r="GR20" i="22"/>
  <c r="GS20" i="22"/>
  <c r="GT20" i="22"/>
  <c r="GU20" i="22"/>
  <c r="GV20" i="22"/>
  <c r="GW20" i="22"/>
  <c r="GX20" i="22"/>
  <c r="GY20" i="22"/>
  <c r="GZ20" i="22"/>
  <c r="HA20" i="22"/>
  <c r="A7" i="10"/>
  <c r="HB20" i="22"/>
  <c r="HC20" i="22"/>
  <c r="HD20" i="22"/>
  <c r="HE20" i="22"/>
  <c r="HF20" i="22"/>
  <c r="HG20" i="22"/>
  <c r="HH20" i="22"/>
  <c r="HI20" i="22"/>
  <c r="HJ20" i="22"/>
  <c r="HK20" i="22"/>
  <c r="HL20" i="22"/>
  <c r="HM20" i="22"/>
  <c r="HN20" i="22"/>
  <c r="A8" i="10"/>
  <c r="HO20" i="22"/>
  <c r="HP20" i="22"/>
  <c r="HQ20" i="22"/>
  <c r="HR20" i="22"/>
  <c r="HS20" i="22"/>
  <c r="HT20" i="22"/>
  <c r="HU20" i="22"/>
  <c r="HV20" i="22"/>
  <c r="HW20" i="22"/>
  <c r="HX20" i="22"/>
  <c r="HY20" i="22"/>
  <c r="HZ20" i="22"/>
  <c r="IA20" i="22"/>
  <c r="A9" i="10"/>
  <c r="IB20" i="22"/>
  <c r="IC20" i="22"/>
  <c r="ID20" i="22"/>
  <c r="IE20" i="22"/>
  <c r="IF20" i="22"/>
  <c r="IG20" i="22"/>
  <c r="IH20" i="22"/>
  <c r="II20" i="22"/>
  <c r="IJ20" i="22"/>
  <c r="IK20" i="22"/>
  <c r="IL20" i="22"/>
  <c r="IM20" i="22"/>
  <c r="IN20" i="22"/>
  <c r="A10" i="10"/>
  <c r="IO20" i="22"/>
  <c r="IP20" i="22"/>
  <c r="IQ20" i="22"/>
  <c r="IR20" i="22"/>
  <c r="IS20" i="22"/>
  <c r="IT20" i="22"/>
  <c r="IU20" i="22"/>
  <c r="IV20" i="22"/>
  <c r="E16" i="17"/>
  <c r="A19" i="22"/>
  <c r="B19" i="22"/>
  <c r="G16" i="17"/>
  <c r="C19" i="22"/>
  <c r="D19" i="22"/>
  <c r="I16" i="17"/>
  <c r="E19" i="22"/>
  <c r="F19" i="22"/>
  <c r="K16" i="17"/>
  <c r="G19" i="22"/>
  <c r="H19" i="22"/>
  <c r="I19" i="22"/>
  <c r="J19" i="22"/>
  <c r="K19" i="22"/>
  <c r="L19" i="22"/>
  <c r="M19" i="22"/>
  <c r="N19" i="22"/>
  <c r="E17" i="17"/>
  <c r="O19" i="22"/>
  <c r="P19" i="22"/>
  <c r="G17" i="17"/>
  <c r="Q19" i="22"/>
  <c r="R19" i="22"/>
  <c r="I17" i="17"/>
  <c r="S19" i="22"/>
  <c r="T19" i="22"/>
  <c r="K17" i="17"/>
  <c r="U19" i="22"/>
  <c r="V19" i="22"/>
  <c r="W19" i="22"/>
  <c r="X19" i="22"/>
  <c r="Y19" i="22"/>
  <c r="Z19" i="22"/>
  <c r="AA19" i="22"/>
  <c r="AB19" i="22"/>
  <c r="E18" i="17"/>
  <c r="AC19" i="22"/>
  <c r="AD19" i="22"/>
  <c r="G18" i="17"/>
  <c r="AE19" i="22"/>
  <c r="AF19" i="22"/>
  <c r="I18" i="17"/>
  <c r="AG19" i="22"/>
  <c r="AH19" i="22"/>
  <c r="K18" i="17"/>
  <c r="AI19" i="22"/>
  <c r="AJ19" i="22"/>
  <c r="AK19" i="22"/>
  <c r="AL19" i="22"/>
  <c r="AM19" i="22"/>
  <c r="AN19" i="22"/>
  <c r="AO19" i="22"/>
  <c r="AP19" i="22"/>
  <c r="E19" i="17"/>
  <c r="AQ19" i="22"/>
  <c r="AR19" i="22"/>
  <c r="G19" i="17"/>
  <c r="AS19" i="22"/>
  <c r="AT19" i="22"/>
  <c r="I19" i="17"/>
  <c r="AU19" i="22"/>
  <c r="AV19" i="22"/>
  <c r="K19" i="17"/>
  <c r="AW19" i="22"/>
  <c r="AX19" i="22"/>
  <c r="AY19" i="22"/>
  <c r="AZ19" i="22"/>
  <c r="BA19" i="22"/>
  <c r="BB19" i="22"/>
  <c r="BC19" i="22"/>
  <c r="BD19" i="22"/>
  <c r="E20" i="17"/>
  <c r="BE19" i="22"/>
  <c r="BF19" i="22"/>
  <c r="G20" i="17"/>
  <c r="BG19" i="22"/>
  <c r="BH19" i="22"/>
  <c r="I20" i="17"/>
  <c r="BI19" i="22"/>
  <c r="BJ19" i="22"/>
  <c r="K20" i="17"/>
  <c r="BK19" i="22"/>
  <c r="BL19" i="22"/>
  <c r="BM19" i="22"/>
  <c r="BN19" i="22"/>
  <c r="BO19" i="22"/>
  <c r="BP19" i="22"/>
  <c r="BQ19" i="22"/>
  <c r="BR19" i="22"/>
  <c r="E21" i="17"/>
  <c r="BS19" i="22"/>
  <c r="BT19" i="22"/>
  <c r="G21" i="17"/>
  <c r="BU19" i="22"/>
  <c r="BV19" i="22"/>
  <c r="I21" i="17"/>
  <c r="BW19" i="22"/>
  <c r="BX19" i="22"/>
  <c r="K21" i="17"/>
  <c r="BY19" i="22"/>
  <c r="BZ19" i="22"/>
  <c r="CA19" i="22"/>
  <c r="CB19" i="22"/>
  <c r="CC19" i="22"/>
  <c r="CD19" i="22"/>
  <c r="CE19" i="22"/>
  <c r="CF19" i="22"/>
  <c r="E22" i="17"/>
  <c r="CG19" i="22"/>
  <c r="CH19" i="22"/>
  <c r="G22" i="17"/>
  <c r="CI19" i="22"/>
  <c r="CJ19" i="22"/>
  <c r="I22" i="17"/>
  <c r="CK19" i="22"/>
  <c r="CL19" i="22"/>
  <c r="K22" i="17"/>
  <c r="CM19" i="22"/>
  <c r="CN19" i="22"/>
  <c r="CO19" i="22"/>
  <c r="CP19" i="22"/>
  <c r="CQ19" i="22"/>
  <c r="CR19" i="22"/>
  <c r="CS19" i="22"/>
  <c r="CT19" i="22"/>
  <c r="CU19" i="22"/>
  <c r="CV19" i="22"/>
  <c r="CW19" i="22"/>
  <c r="CX19" i="22"/>
  <c r="CY19" i="22"/>
  <c r="CZ19" i="22"/>
  <c r="DA19" i="22"/>
  <c r="DB19" i="22"/>
  <c r="DC19" i="22"/>
  <c r="DD19" i="22"/>
  <c r="DE19" i="22"/>
  <c r="DF19" i="22"/>
  <c r="DG19" i="22"/>
  <c r="DH19" i="22"/>
  <c r="DI19" i="22"/>
  <c r="DJ19" i="22"/>
  <c r="DK19" i="22"/>
  <c r="DL19" i="22"/>
  <c r="DM19" i="22"/>
  <c r="DN19" i="22"/>
  <c r="DO19" i="22"/>
  <c r="DP19" i="22"/>
  <c r="DQ19" i="22"/>
  <c r="DR19" i="22"/>
  <c r="DS19" i="22"/>
  <c r="DT19" i="22"/>
  <c r="DU19" i="22"/>
  <c r="DV19" i="22"/>
  <c r="E25" i="17"/>
  <c r="DW19" i="22"/>
  <c r="DX19" i="22"/>
  <c r="G25" i="17"/>
  <c r="DY19" i="22"/>
  <c r="DZ19" i="22"/>
  <c r="I25" i="17"/>
  <c r="EA19" i="22"/>
  <c r="EB19" i="22"/>
  <c r="K25" i="17"/>
  <c r="EC19" i="22"/>
  <c r="ED19" i="22"/>
  <c r="EE19" i="22"/>
  <c r="EF19" i="22"/>
  <c r="EG19" i="22"/>
  <c r="EH19" i="22"/>
  <c r="EI19" i="22"/>
  <c r="EJ19" i="22"/>
  <c r="E26" i="17"/>
  <c r="EK19" i="22"/>
  <c r="EL19" i="22"/>
  <c r="G26" i="17"/>
  <c r="EM19" i="22"/>
  <c r="EN19" i="22"/>
  <c r="I26" i="17"/>
  <c r="EO19" i="22"/>
  <c r="EP19" i="22"/>
  <c r="K26" i="17"/>
  <c r="EQ19" i="22"/>
  <c r="ER19" i="22"/>
  <c r="ES19" i="22"/>
  <c r="ET19" i="22"/>
  <c r="EU19" i="22"/>
  <c r="EV19" i="22"/>
  <c r="EW19" i="22"/>
  <c r="EX19" i="22"/>
  <c r="E27" i="17"/>
  <c r="EY19" i="22"/>
  <c r="EZ19" i="22"/>
  <c r="G27" i="17"/>
  <c r="FA19" i="22"/>
  <c r="FB19" i="22"/>
  <c r="I27" i="17"/>
  <c r="FC19" i="22"/>
  <c r="FD19" i="22"/>
  <c r="K27" i="17"/>
  <c r="FE19" i="22"/>
  <c r="FF19" i="22"/>
  <c r="FG19" i="22"/>
  <c r="FH19" i="22"/>
  <c r="FI19" i="22"/>
  <c r="FJ19" i="22"/>
  <c r="FK19" i="22"/>
  <c r="FL19" i="22"/>
  <c r="E28" i="17"/>
  <c r="FM19" i="22"/>
  <c r="FN19" i="22"/>
  <c r="G28" i="17"/>
  <c r="FO19" i="22"/>
  <c r="FP19" i="22"/>
  <c r="I28" i="17"/>
  <c r="FQ19" i="22"/>
  <c r="FR19" i="22"/>
  <c r="K28" i="17"/>
  <c r="FS19" i="22"/>
  <c r="FT19" i="22"/>
  <c r="FU19" i="22"/>
  <c r="FV19" i="22"/>
  <c r="FW19" i="22"/>
  <c r="FX19" i="22"/>
  <c r="FY19" i="22"/>
  <c r="FZ19" i="22"/>
  <c r="E29" i="17"/>
  <c r="GA19" i="22"/>
  <c r="GB19" i="22"/>
  <c r="GC19" i="22"/>
  <c r="GD19" i="22"/>
  <c r="I29" i="17"/>
  <c r="GE19" i="22"/>
  <c r="GF19" i="22"/>
  <c r="K29" i="17"/>
  <c r="GG19" i="22"/>
  <c r="GH19" i="22"/>
  <c r="GI19" i="22"/>
  <c r="GJ19" i="22"/>
  <c r="GK19" i="22"/>
  <c r="GL19" i="22"/>
  <c r="GM19" i="22"/>
  <c r="GN19" i="22"/>
  <c r="E30" i="17"/>
  <c r="GO19" i="22"/>
  <c r="GP19" i="22"/>
  <c r="G30" i="17"/>
  <c r="GQ19" i="22"/>
  <c r="GR19" i="22"/>
  <c r="I30" i="17"/>
  <c r="GS19" i="22"/>
  <c r="GT19" i="22"/>
  <c r="K30" i="17"/>
  <c r="GU19" i="22"/>
  <c r="GV19" i="22"/>
  <c r="GW19" i="22"/>
  <c r="GX19" i="22"/>
  <c r="GY19" i="22"/>
  <c r="GZ19" i="22"/>
  <c r="HA19" i="22"/>
  <c r="HB19" i="22"/>
  <c r="E31" i="17"/>
  <c r="HC19" i="22"/>
  <c r="HD19" i="22"/>
  <c r="G31" i="17"/>
  <c r="HE19" i="22"/>
  <c r="HF19" i="22"/>
  <c r="I31" i="17"/>
  <c r="HG19" i="22"/>
  <c r="HH19" i="22"/>
  <c r="K31" i="17"/>
  <c r="HI19" i="22"/>
  <c r="HJ19" i="22"/>
  <c r="HK19" i="22"/>
  <c r="HL19" i="22"/>
  <c r="HM19" i="22"/>
  <c r="HN19" i="22"/>
  <c r="HO19" i="22"/>
  <c r="HP19" i="22"/>
  <c r="E32" i="17"/>
  <c r="HQ19" i="22"/>
  <c r="HR19" i="22"/>
  <c r="G32" i="17"/>
  <c r="HS19" i="22"/>
  <c r="HT19" i="22"/>
  <c r="I32" i="17"/>
  <c r="HU19" i="22"/>
  <c r="HV19" i="22"/>
  <c r="K32" i="17"/>
  <c r="HW19" i="22"/>
  <c r="HX19" i="22"/>
  <c r="HY19" i="22"/>
  <c r="HZ19" i="22"/>
  <c r="IA19" i="22"/>
  <c r="IB19" i="22"/>
  <c r="IC19" i="22"/>
  <c r="ID19" i="22"/>
  <c r="IE19" i="22"/>
  <c r="IF19" i="22"/>
  <c r="IG19" i="22"/>
  <c r="IH19" i="22"/>
  <c r="II19" i="22"/>
  <c r="IJ19" i="22"/>
  <c r="IK19" i="22"/>
  <c r="IL19" i="22"/>
  <c r="IM19" i="22"/>
  <c r="IN19" i="22"/>
  <c r="IO19" i="22"/>
  <c r="IP19" i="22"/>
  <c r="IQ19" i="22"/>
  <c r="IR19" i="22"/>
  <c r="IS19" i="22"/>
  <c r="IT19" i="22"/>
  <c r="IU19" i="22"/>
  <c r="IV19" i="22"/>
  <c r="A18" i="22"/>
  <c r="B18" i="22"/>
  <c r="C18" i="22"/>
  <c r="D18" i="22"/>
  <c r="E18" i="22"/>
  <c r="F18" i="22"/>
  <c r="G18" i="22"/>
  <c r="H18" i="22"/>
  <c r="I18" i="22"/>
  <c r="J18" i="22"/>
  <c r="K18" i="22"/>
  <c r="L18" i="22"/>
  <c r="M18" i="22"/>
  <c r="N18" i="22"/>
  <c r="O18" i="22"/>
  <c r="P18" i="22"/>
  <c r="Q18" i="22"/>
  <c r="R18" i="22"/>
  <c r="S18" i="22"/>
  <c r="T18" i="22"/>
  <c r="U18" i="22"/>
  <c r="V18" i="22"/>
  <c r="W18" i="22"/>
  <c r="X18" i="22"/>
  <c r="Y18" i="22"/>
  <c r="Z18" i="22"/>
  <c r="AA18" i="22"/>
  <c r="AB18" i="22"/>
  <c r="AC18" i="22"/>
  <c r="AD18" i="22"/>
  <c r="AE18" i="22"/>
  <c r="AF18" i="22"/>
  <c r="AH18" i="22"/>
  <c r="AJ18" i="22"/>
  <c r="AL18" i="22"/>
  <c r="AM18" i="22"/>
  <c r="AN18" i="22"/>
  <c r="AO18" i="22"/>
  <c r="AP18" i="22"/>
  <c r="AQ18" i="22"/>
  <c r="AR18" i="22"/>
  <c r="AS18" i="22"/>
  <c r="AT18" i="22"/>
  <c r="AU18" i="22"/>
  <c r="AV18" i="22"/>
  <c r="AW18" i="22"/>
  <c r="AX18" i="22"/>
  <c r="AY18" i="22"/>
  <c r="AZ18" i="22"/>
  <c r="BA18" i="22"/>
  <c r="BB18" i="22"/>
  <c r="K1" i="17"/>
  <c r="BC18" i="22"/>
  <c r="BD18" i="22"/>
  <c r="BE18" i="22"/>
  <c r="BF18" i="22"/>
  <c r="BG18" i="22"/>
  <c r="BH18" i="22"/>
  <c r="BI18" i="22"/>
  <c r="BJ18" i="22"/>
  <c r="BK18" i="22"/>
  <c r="BL18" i="22"/>
  <c r="BM18" i="22"/>
  <c r="BN18" i="22"/>
  <c r="BO18" i="22"/>
  <c r="BP18" i="22"/>
  <c r="BQ18" i="22"/>
  <c r="BR18" i="22"/>
  <c r="BS18" i="22"/>
  <c r="BT18" i="22"/>
  <c r="BU18" i="22"/>
  <c r="BV18" i="22"/>
  <c r="BW18" i="22"/>
  <c r="BX18" i="22"/>
  <c r="BY18" i="22"/>
  <c r="BZ18" i="22"/>
  <c r="CA18" i="22"/>
  <c r="CB18" i="22"/>
  <c r="CC18" i="22"/>
  <c r="CD18" i="22"/>
  <c r="CE18" i="22"/>
  <c r="CF18" i="22"/>
  <c r="CG18" i="22"/>
  <c r="CH18" i="22"/>
  <c r="CI18" i="22"/>
  <c r="CJ18" i="22"/>
  <c r="CK18" i="22"/>
  <c r="CL18" i="22"/>
  <c r="CM18" i="22"/>
  <c r="CN18" i="22"/>
  <c r="CO18" i="22"/>
  <c r="CP18" i="22"/>
  <c r="CQ18" i="22"/>
  <c r="CR18" i="22"/>
  <c r="CS18" i="22"/>
  <c r="CT18" i="22"/>
  <c r="CU18" i="22"/>
  <c r="CV18" i="22"/>
  <c r="CW18" i="22"/>
  <c r="CX18" i="22"/>
  <c r="E5" i="17"/>
  <c r="CY18" i="22"/>
  <c r="CZ18" i="22"/>
  <c r="G5" i="17"/>
  <c r="DA18" i="22"/>
  <c r="DB18" i="22"/>
  <c r="I5" i="17"/>
  <c r="DC18" i="22"/>
  <c r="DD18" i="22"/>
  <c r="K5" i="17"/>
  <c r="DE18" i="22"/>
  <c r="DF18" i="22"/>
  <c r="DG18" i="22"/>
  <c r="DH18" i="22"/>
  <c r="DI18" i="22"/>
  <c r="DJ18" i="22"/>
  <c r="DK18" i="22"/>
  <c r="DL18" i="22"/>
  <c r="E6" i="17"/>
  <c r="DM18" i="22"/>
  <c r="DN18" i="22"/>
  <c r="G6" i="17"/>
  <c r="DO18" i="22"/>
  <c r="DP18" i="22"/>
  <c r="I6" i="17"/>
  <c r="DQ18" i="22"/>
  <c r="DR18" i="22"/>
  <c r="K6" i="17"/>
  <c r="DS18" i="22"/>
  <c r="DT18" i="22"/>
  <c r="DU18" i="22"/>
  <c r="DV18" i="22"/>
  <c r="DW18" i="22"/>
  <c r="DX18" i="22"/>
  <c r="DY18" i="22"/>
  <c r="DZ18" i="22"/>
  <c r="E7" i="17"/>
  <c r="EA18" i="22"/>
  <c r="EB18" i="22"/>
  <c r="G7" i="17"/>
  <c r="EC18" i="22"/>
  <c r="ED18" i="22"/>
  <c r="I7" i="17"/>
  <c r="EE18" i="22"/>
  <c r="EF18" i="22"/>
  <c r="K7" i="17"/>
  <c r="EG18" i="22"/>
  <c r="EH18" i="22"/>
  <c r="EI18" i="22"/>
  <c r="EJ18" i="22"/>
  <c r="EK18" i="22"/>
  <c r="EL18" i="22"/>
  <c r="EM18" i="22"/>
  <c r="EN18" i="22"/>
  <c r="E8" i="17"/>
  <c r="EO18" i="22"/>
  <c r="EP18" i="22"/>
  <c r="G8" i="17"/>
  <c r="EQ18" i="22"/>
  <c r="ER18" i="22"/>
  <c r="I8" i="17"/>
  <c r="ES18" i="22"/>
  <c r="ET18" i="22"/>
  <c r="K8" i="17"/>
  <c r="EU18" i="22"/>
  <c r="EV18" i="22"/>
  <c r="EW18" i="22"/>
  <c r="EX18" i="22"/>
  <c r="EY18" i="22"/>
  <c r="EZ18" i="22"/>
  <c r="FA18" i="22"/>
  <c r="FB18" i="22"/>
  <c r="E9" i="17"/>
  <c r="FC18" i="22"/>
  <c r="FD18" i="22"/>
  <c r="G9" i="17"/>
  <c r="FE18" i="22"/>
  <c r="FF18" i="22"/>
  <c r="I9" i="17"/>
  <c r="FG18" i="22"/>
  <c r="FH18" i="22"/>
  <c r="K9" i="17"/>
  <c r="FI18" i="22"/>
  <c r="FJ18" i="22"/>
  <c r="FK18" i="22"/>
  <c r="FL18" i="22"/>
  <c r="FM18" i="22"/>
  <c r="FN18" i="22"/>
  <c r="FO18" i="22"/>
  <c r="FP18" i="22"/>
  <c r="E10" i="17"/>
  <c r="FQ18" i="22"/>
  <c r="FR18" i="22"/>
  <c r="G10" i="17"/>
  <c r="FS18" i="22"/>
  <c r="FT18" i="22"/>
  <c r="I10" i="17"/>
  <c r="FU18" i="22"/>
  <c r="FV18" i="22"/>
  <c r="K10" i="17"/>
  <c r="FW18" i="22"/>
  <c r="FX18" i="22"/>
  <c r="FY18" i="22"/>
  <c r="FZ18" i="22"/>
  <c r="GA18" i="22"/>
  <c r="GB18" i="22"/>
  <c r="GC18" i="22"/>
  <c r="GD18" i="22"/>
  <c r="E11" i="17"/>
  <c r="GE18" i="22"/>
  <c r="GF18" i="22"/>
  <c r="G11" i="17"/>
  <c r="GG18" i="22"/>
  <c r="GH18" i="22"/>
  <c r="I11" i="17"/>
  <c r="GI18" i="22"/>
  <c r="GJ18" i="22"/>
  <c r="K11" i="17"/>
  <c r="GK18" i="22"/>
  <c r="GL18" i="22"/>
  <c r="GM18" i="22"/>
  <c r="GN18" i="22"/>
  <c r="GO18" i="22"/>
  <c r="GP18" i="22"/>
  <c r="GQ18" i="22"/>
  <c r="GR18" i="22"/>
  <c r="E12" i="17"/>
  <c r="GS18" i="22"/>
  <c r="GT18" i="22"/>
  <c r="G12" i="17"/>
  <c r="GU18" i="22"/>
  <c r="GV18" i="22"/>
  <c r="I12" i="17"/>
  <c r="GW18" i="22"/>
  <c r="GX18" i="22"/>
  <c r="K12" i="17"/>
  <c r="GY18" i="22"/>
  <c r="GZ18" i="22"/>
  <c r="HA18" i="22"/>
  <c r="HB18" i="22"/>
  <c r="HC18" i="22"/>
  <c r="HD18" i="22"/>
  <c r="HE18" i="22"/>
  <c r="HF18" i="22"/>
  <c r="HG18" i="22"/>
  <c r="HH18" i="22"/>
  <c r="HI18" i="22"/>
  <c r="HJ18" i="22"/>
  <c r="HK18" i="22"/>
  <c r="HL18" i="22"/>
  <c r="HM18" i="22"/>
  <c r="HN18" i="22"/>
  <c r="HO18" i="22"/>
  <c r="HP18" i="22"/>
  <c r="HQ18" i="22"/>
  <c r="HR18" i="22"/>
  <c r="HS18" i="22"/>
  <c r="HT18" i="22"/>
  <c r="HU18" i="22"/>
  <c r="HV18" i="22"/>
  <c r="HW18" i="22"/>
  <c r="HX18" i="22"/>
  <c r="HY18" i="22"/>
  <c r="HZ18" i="22"/>
  <c r="IA18" i="22"/>
  <c r="IB18" i="22"/>
  <c r="IC18" i="22"/>
  <c r="ID18" i="22"/>
  <c r="IE18" i="22"/>
  <c r="IF18" i="22"/>
  <c r="IG18" i="22"/>
  <c r="IH18" i="22"/>
  <c r="E15" i="17"/>
  <c r="II18" i="22"/>
  <c r="IJ18" i="22"/>
  <c r="G15" i="17"/>
  <c r="IK18" i="22"/>
  <c r="IL18" i="22"/>
  <c r="I15" i="17"/>
  <c r="IM18" i="22"/>
  <c r="IN18" i="22"/>
  <c r="K15" i="17"/>
  <c r="IO18" i="22"/>
  <c r="IP18" i="22"/>
  <c r="IQ18" i="22"/>
  <c r="IR18" i="22"/>
  <c r="IS18" i="22"/>
  <c r="IT18" i="22"/>
  <c r="IU18" i="22"/>
  <c r="IV18" i="22"/>
  <c r="A17" i="22"/>
  <c r="B17" i="22"/>
  <c r="C17" i="22"/>
  <c r="D17" i="22"/>
  <c r="F17" i="22"/>
  <c r="G17" i="22"/>
  <c r="H17" i="22"/>
  <c r="I17" i="22"/>
  <c r="E45" i="19"/>
  <c r="J17" i="22"/>
  <c r="K17" i="22"/>
  <c r="G45" i="19"/>
  <c r="L17" i="22"/>
  <c r="M17" i="22"/>
  <c r="N17" i="22"/>
  <c r="O17" i="22"/>
  <c r="P17" i="22"/>
  <c r="Q17" i="22"/>
  <c r="R17" i="22"/>
  <c r="S17" i="22"/>
  <c r="T17" i="22"/>
  <c r="U17" i="22"/>
  <c r="V17" i="22"/>
  <c r="W17" i="22"/>
  <c r="E46" i="19"/>
  <c r="X17" i="22"/>
  <c r="Y17" i="22"/>
  <c r="G46" i="19"/>
  <c r="Z17" i="22"/>
  <c r="AA17" i="22"/>
  <c r="AB17" i="22"/>
  <c r="AC17" i="22"/>
  <c r="AD17" i="22"/>
  <c r="AE17" i="22"/>
  <c r="AF17" i="22"/>
  <c r="AG17" i="22"/>
  <c r="AH17" i="22"/>
  <c r="AI17" i="22"/>
  <c r="AJ17" i="22"/>
  <c r="AK17" i="22"/>
  <c r="E47" i="19"/>
  <c r="AL17" i="22"/>
  <c r="AM17" i="22"/>
  <c r="G47" i="19"/>
  <c r="AN17" i="22"/>
  <c r="AO17" i="22"/>
  <c r="AP17" i="22"/>
  <c r="AQ17" i="22"/>
  <c r="AR17" i="22"/>
  <c r="AS17" i="22"/>
  <c r="AT17" i="22"/>
  <c r="AU17" i="22"/>
  <c r="AV17" i="22"/>
  <c r="AW17" i="22"/>
  <c r="AX17" i="22"/>
  <c r="AY17" i="22"/>
  <c r="E48" i="19"/>
  <c r="AZ17" i="22"/>
  <c r="BA17" i="22"/>
  <c r="G48" i="19"/>
  <c r="BB17" i="22"/>
  <c r="BC17" i="22"/>
  <c r="BD17" i="22"/>
  <c r="BE17" i="22"/>
  <c r="BF17" i="22"/>
  <c r="BG17" i="22"/>
  <c r="BH17" i="22"/>
  <c r="BI17" i="22"/>
  <c r="BJ17" i="22"/>
  <c r="BK17" i="22"/>
  <c r="BL17" i="22"/>
  <c r="BM17" i="22"/>
  <c r="E49" i="19"/>
  <c r="BN17" i="22"/>
  <c r="BO17" i="22"/>
  <c r="G49" i="19"/>
  <c r="BP17" i="22"/>
  <c r="BQ17" i="22"/>
  <c r="BR17" i="22"/>
  <c r="BS17" i="22"/>
  <c r="BT17" i="22"/>
  <c r="BU17" i="22"/>
  <c r="BV17" i="22"/>
  <c r="BW17" i="22"/>
  <c r="BX17" i="22"/>
  <c r="BY17" i="22"/>
  <c r="BZ17" i="22"/>
  <c r="CA17" i="22"/>
  <c r="E50" i="19"/>
  <c r="CB17" i="22"/>
  <c r="CC17" i="22"/>
  <c r="G50" i="19"/>
  <c r="CD17" i="22"/>
  <c r="CE17" i="22"/>
  <c r="CF17" i="22"/>
  <c r="CG17" i="22"/>
  <c r="CH17" i="22"/>
  <c r="CI17" i="22"/>
  <c r="CJ17" i="22"/>
  <c r="CK17" i="22"/>
  <c r="CL17" i="22"/>
  <c r="CM17" i="22"/>
  <c r="CN17" i="22"/>
  <c r="CO17" i="22"/>
  <c r="E51" i="19"/>
  <c r="CP17" i="22"/>
  <c r="CQ17" i="22"/>
  <c r="G51" i="19"/>
  <c r="CR17" i="22"/>
  <c r="CS17" i="22"/>
  <c r="CT17" i="22"/>
  <c r="CU17" i="22"/>
  <c r="CV17" i="22"/>
  <c r="CW17" i="22"/>
  <c r="CX17" i="22"/>
  <c r="CY17" i="22"/>
  <c r="CZ17" i="22"/>
  <c r="DA17" i="22"/>
  <c r="DB17" i="22"/>
  <c r="DC17" i="22"/>
  <c r="E52" i="19"/>
  <c r="DD17" i="22"/>
  <c r="DE17" i="22"/>
  <c r="G52" i="19"/>
  <c r="DF17" i="22"/>
  <c r="DG17" i="22"/>
  <c r="DH17" i="22"/>
  <c r="DI17" i="22"/>
  <c r="DJ17" i="22"/>
  <c r="DK17" i="22"/>
  <c r="DL17" i="22"/>
  <c r="DM17" i="22"/>
  <c r="DN17" i="22"/>
  <c r="DO17" i="22"/>
  <c r="DP17" i="22"/>
  <c r="DQ17" i="22"/>
  <c r="DR17" i="22"/>
  <c r="DS17" i="22"/>
  <c r="DT17" i="22"/>
  <c r="DU17" i="22"/>
  <c r="DV17" i="22"/>
  <c r="DW17" i="22"/>
  <c r="DX17" i="22"/>
  <c r="DY17" i="22"/>
  <c r="DZ17" i="22"/>
  <c r="EA17" i="22"/>
  <c r="EB17" i="22"/>
  <c r="EC17" i="22"/>
  <c r="ED17" i="22"/>
  <c r="EE17" i="22"/>
  <c r="EF17" i="22"/>
  <c r="EG17" i="22"/>
  <c r="EH17" i="22"/>
  <c r="EI17" i="22"/>
  <c r="EJ17" i="22"/>
  <c r="EK17" i="22"/>
  <c r="EL17" i="22"/>
  <c r="EM17" i="22"/>
  <c r="EN17" i="22"/>
  <c r="EO17" i="22"/>
  <c r="EP17" i="22"/>
  <c r="EQ17" i="22"/>
  <c r="ER17" i="22"/>
  <c r="ES17" i="22"/>
  <c r="E57" i="19"/>
  <c r="ET17" i="22"/>
  <c r="EU17" i="22"/>
  <c r="G57" i="19"/>
  <c r="EV17" i="22"/>
  <c r="EW17" i="22"/>
  <c r="EX17" i="22"/>
  <c r="EY17" i="22"/>
  <c r="EZ17" i="22"/>
  <c r="FA17" i="22"/>
  <c r="FB17" i="22"/>
  <c r="FC17" i="22"/>
  <c r="FD17" i="22"/>
  <c r="FE17" i="22"/>
  <c r="FF17" i="22"/>
  <c r="FG17" i="22"/>
  <c r="E58" i="19"/>
  <c r="FH17" i="22"/>
  <c r="FI17" i="22"/>
  <c r="G58" i="19"/>
  <c r="FJ17" i="22"/>
  <c r="FK17" i="22"/>
  <c r="FL17" i="22"/>
  <c r="FM17" i="22"/>
  <c r="FN17" i="22"/>
  <c r="FO17" i="22"/>
  <c r="FP17" i="22"/>
  <c r="FQ17" i="22"/>
  <c r="FR17" i="22"/>
  <c r="FS17" i="22"/>
  <c r="FT17" i="22"/>
  <c r="FU17" i="22"/>
  <c r="E59" i="19"/>
  <c r="FV17" i="22"/>
  <c r="FW17" i="22"/>
  <c r="G59" i="19"/>
  <c r="FX17" i="22"/>
  <c r="FY17" i="22"/>
  <c r="FZ17" i="22"/>
  <c r="GA17" i="22"/>
  <c r="GB17" i="22"/>
  <c r="GC17" i="22"/>
  <c r="GD17" i="22"/>
  <c r="GE17" i="22"/>
  <c r="GF17" i="22"/>
  <c r="GG17" i="22"/>
  <c r="GH17" i="22"/>
  <c r="GI17" i="22"/>
  <c r="E60" i="19"/>
  <c r="GJ17" i="22"/>
  <c r="GK17" i="22"/>
  <c r="G60" i="19"/>
  <c r="GL17" i="22"/>
  <c r="GM17" i="22"/>
  <c r="GN17" i="22"/>
  <c r="GO17" i="22"/>
  <c r="GP17" i="22"/>
  <c r="GQ17" i="22"/>
  <c r="GR17" i="22"/>
  <c r="GS17" i="22"/>
  <c r="GT17" i="22"/>
  <c r="GU17" i="22"/>
  <c r="GV17" i="22"/>
  <c r="GW17" i="22"/>
  <c r="E61" i="19"/>
  <c r="GX17" i="22"/>
  <c r="GY17" i="22"/>
  <c r="G61" i="19"/>
  <c r="GZ17" i="22"/>
  <c r="HA17" i="22"/>
  <c r="HB17" i="22"/>
  <c r="HC17" i="22"/>
  <c r="HD17" i="22"/>
  <c r="HE17" i="22"/>
  <c r="HF17" i="22"/>
  <c r="HG17" i="22"/>
  <c r="HH17" i="22"/>
  <c r="HI17" i="22"/>
  <c r="HJ17" i="22"/>
  <c r="HK17" i="22"/>
  <c r="E62" i="19"/>
  <c r="HL17" i="22"/>
  <c r="HM17" i="22"/>
  <c r="G62" i="19"/>
  <c r="HN17" i="22"/>
  <c r="HO17" i="22"/>
  <c r="HP17" i="22"/>
  <c r="HQ17" i="22"/>
  <c r="HR17" i="22"/>
  <c r="HS17" i="22"/>
  <c r="HT17" i="22"/>
  <c r="HU17" i="22"/>
  <c r="HV17" i="22"/>
  <c r="HW17" i="22"/>
  <c r="HX17" i="22"/>
  <c r="HY17" i="22"/>
  <c r="E63" i="19"/>
  <c r="HZ17" i="22"/>
  <c r="IA17" i="22"/>
  <c r="G63" i="19"/>
  <c r="IB17" i="22"/>
  <c r="IC17" i="22"/>
  <c r="ID17" i="22"/>
  <c r="IE17" i="22"/>
  <c r="IF17" i="22"/>
  <c r="IG17" i="22"/>
  <c r="IH17" i="22"/>
  <c r="II17" i="22"/>
  <c r="IJ17" i="22"/>
  <c r="IK17" i="22"/>
  <c r="IL17" i="22"/>
  <c r="IM17" i="22"/>
  <c r="E64" i="19"/>
  <c r="IN17" i="22"/>
  <c r="IO17" i="22"/>
  <c r="G64" i="19"/>
  <c r="IP17" i="22"/>
  <c r="IQ17" i="22"/>
  <c r="IR17" i="22"/>
  <c r="IS17" i="22"/>
  <c r="IT17" i="22"/>
  <c r="IU17" i="22"/>
  <c r="IV17" i="22"/>
  <c r="A16" i="22"/>
  <c r="G26" i="19"/>
  <c r="B16" i="22"/>
  <c r="C16" i="22"/>
  <c r="D16" i="22"/>
  <c r="E16" i="22"/>
  <c r="F16" i="22"/>
  <c r="G16" i="22"/>
  <c r="H16" i="22"/>
  <c r="J16" i="22"/>
  <c r="K16" i="22"/>
  <c r="L16" i="22"/>
  <c r="M16" i="22"/>
  <c r="E27" i="19"/>
  <c r="N16" i="22"/>
  <c r="O16" i="22"/>
  <c r="P16" i="22"/>
  <c r="Q16" i="22"/>
  <c r="R16" i="22"/>
  <c r="S16" i="22"/>
  <c r="T16" i="22"/>
  <c r="U16" i="22"/>
  <c r="V16" i="22"/>
  <c r="W16" i="22"/>
  <c r="X16" i="22"/>
  <c r="Y16" i="22"/>
  <c r="Z16" i="22"/>
  <c r="AA16" i="22"/>
  <c r="E28" i="19"/>
  <c r="AB16" i="22"/>
  <c r="AC16" i="22"/>
  <c r="AD16" i="22"/>
  <c r="AE16" i="22"/>
  <c r="AF16" i="22"/>
  <c r="AG16" i="22"/>
  <c r="AH16" i="22"/>
  <c r="AI16" i="22"/>
  <c r="AJ16" i="22"/>
  <c r="AK16" i="22"/>
  <c r="AL16" i="22"/>
  <c r="AM16" i="22"/>
  <c r="AN16" i="22"/>
  <c r="AO16" i="22"/>
  <c r="E29" i="19"/>
  <c r="AP16" i="22"/>
  <c r="AQ16" i="22"/>
  <c r="G29" i="19"/>
  <c r="AR16" i="22"/>
  <c r="AS16" i="22"/>
  <c r="AT16" i="22"/>
  <c r="AU16" i="22"/>
  <c r="AV16" i="22"/>
  <c r="AW16" i="22"/>
  <c r="AX16" i="22"/>
  <c r="AY16" i="22"/>
  <c r="AZ16" i="22"/>
  <c r="BA16" i="22"/>
  <c r="BB16" i="22"/>
  <c r="BC16" i="22"/>
  <c r="E30" i="19"/>
  <c r="BD16" i="22"/>
  <c r="BE16" i="22"/>
  <c r="G30" i="19"/>
  <c r="BF16" i="22"/>
  <c r="BG16" i="22"/>
  <c r="BH16" i="22"/>
  <c r="BI16" i="22"/>
  <c r="BJ16" i="22"/>
  <c r="BK16" i="22"/>
  <c r="BL16" i="22"/>
  <c r="BM16" i="22"/>
  <c r="BN16" i="22"/>
  <c r="BO16" i="22"/>
  <c r="BP16" i="22"/>
  <c r="BQ16" i="22"/>
  <c r="E31" i="19"/>
  <c r="BR16" i="22"/>
  <c r="BS16" i="22"/>
  <c r="G31" i="19"/>
  <c r="BT16" i="22"/>
  <c r="BU16" i="22"/>
  <c r="BV16" i="22"/>
  <c r="BW16" i="22"/>
  <c r="BX16" i="22"/>
  <c r="BY16" i="22"/>
  <c r="BZ16" i="22"/>
  <c r="CA16" i="22"/>
  <c r="CB16" i="22"/>
  <c r="CC16" i="22"/>
  <c r="CD16" i="22"/>
  <c r="CE16" i="22"/>
  <c r="E32" i="19"/>
  <c r="CF16" i="22"/>
  <c r="CG16" i="22"/>
  <c r="G32" i="19"/>
  <c r="CH16" i="22"/>
  <c r="CI16" i="22"/>
  <c r="CJ16" i="22"/>
  <c r="CK16" i="22"/>
  <c r="CL16" i="22"/>
  <c r="CM16" i="22"/>
  <c r="CN16" i="22"/>
  <c r="CO16" i="22"/>
  <c r="CP16" i="22"/>
  <c r="CQ16" i="22"/>
  <c r="CR16" i="22"/>
  <c r="CS16" i="22"/>
  <c r="CT16" i="22"/>
  <c r="CU16" i="22"/>
  <c r="CV16" i="22"/>
  <c r="CW16" i="22"/>
  <c r="CX16" i="22"/>
  <c r="CY16" i="22"/>
  <c r="CZ16" i="22"/>
  <c r="DA16" i="22"/>
  <c r="DB16" i="22"/>
  <c r="DC16" i="22"/>
  <c r="DD16" i="22"/>
  <c r="DE16" i="22"/>
  <c r="DF16" i="22"/>
  <c r="DG16" i="22"/>
  <c r="DH16" i="22"/>
  <c r="DI16" i="22"/>
  <c r="DJ16" i="22"/>
  <c r="DK16" i="22"/>
  <c r="DL16" i="22"/>
  <c r="DM16" i="22"/>
  <c r="DN16" i="22"/>
  <c r="DO16" i="22"/>
  <c r="DP16" i="22"/>
  <c r="DQ16" i="22"/>
  <c r="DR16" i="22"/>
  <c r="DS16" i="22"/>
  <c r="DT16" i="22"/>
  <c r="DU16" i="22"/>
  <c r="E35" i="19"/>
  <c r="DV16" i="22"/>
  <c r="DW16" i="22"/>
  <c r="G35" i="19"/>
  <c r="DX16" i="22"/>
  <c r="DY16" i="22"/>
  <c r="DZ16" i="22"/>
  <c r="EA16" i="22"/>
  <c r="EB16" i="22"/>
  <c r="EC16" i="22"/>
  <c r="ED16" i="22"/>
  <c r="EE16" i="22"/>
  <c r="EF16" i="22"/>
  <c r="EG16" i="22"/>
  <c r="EH16" i="22"/>
  <c r="EI16" i="22"/>
  <c r="E36" i="19"/>
  <c r="EJ16" i="22"/>
  <c r="EK16" i="22"/>
  <c r="G36" i="19"/>
  <c r="EL16" i="22"/>
  <c r="EM16" i="22"/>
  <c r="EN16" i="22"/>
  <c r="EO16" i="22"/>
  <c r="EP16" i="22"/>
  <c r="EQ16" i="22"/>
  <c r="ER16" i="22"/>
  <c r="ES16" i="22"/>
  <c r="ET16" i="22"/>
  <c r="EU16" i="22"/>
  <c r="EV16" i="22"/>
  <c r="EW16" i="22"/>
  <c r="E37" i="19"/>
  <c r="EX16" i="22"/>
  <c r="EY16" i="22"/>
  <c r="G37" i="19"/>
  <c r="EZ16" i="22"/>
  <c r="FA16" i="22"/>
  <c r="FB16" i="22"/>
  <c r="FC16" i="22"/>
  <c r="FD16" i="22"/>
  <c r="FE16" i="22"/>
  <c r="FF16" i="22"/>
  <c r="FG16" i="22"/>
  <c r="FH16" i="22"/>
  <c r="FI16" i="22"/>
  <c r="FJ16" i="22"/>
  <c r="FK16" i="22"/>
  <c r="E38" i="19"/>
  <c r="FL16" i="22"/>
  <c r="FM16" i="22"/>
  <c r="G38" i="19"/>
  <c r="FN16" i="22"/>
  <c r="FO16" i="22"/>
  <c r="FP16" i="22"/>
  <c r="FQ16" i="22"/>
  <c r="FR16" i="22"/>
  <c r="FS16" i="22"/>
  <c r="FT16" i="22"/>
  <c r="FU16" i="22"/>
  <c r="FV16" i="22"/>
  <c r="FW16" i="22"/>
  <c r="FX16" i="22"/>
  <c r="FY16" i="22"/>
  <c r="E39" i="19"/>
  <c r="FZ16" i="22"/>
  <c r="GA16" i="22"/>
  <c r="G39" i="19"/>
  <c r="GB16" i="22"/>
  <c r="GC16" i="22"/>
  <c r="GD16" i="22"/>
  <c r="GE16" i="22"/>
  <c r="GF16" i="22"/>
  <c r="GG16" i="22"/>
  <c r="GH16" i="22"/>
  <c r="GI16" i="22"/>
  <c r="GJ16" i="22"/>
  <c r="GK16" i="22"/>
  <c r="GL16" i="22"/>
  <c r="GM16" i="22"/>
  <c r="E40" i="19"/>
  <c r="GN16" i="22"/>
  <c r="GO16" i="22"/>
  <c r="G40" i="19"/>
  <c r="GP16" i="22"/>
  <c r="GQ16" i="22"/>
  <c r="GR16" i="22"/>
  <c r="GS16" i="22"/>
  <c r="GT16" i="22"/>
  <c r="GU16" i="22"/>
  <c r="GV16" i="22"/>
  <c r="GW16" i="22"/>
  <c r="GX16" i="22"/>
  <c r="GY16" i="22"/>
  <c r="GZ16" i="22"/>
  <c r="HA16" i="22"/>
  <c r="E41" i="19"/>
  <c r="HB16" i="22"/>
  <c r="HC16" i="22"/>
  <c r="G41" i="19"/>
  <c r="HD16" i="22"/>
  <c r="HE16" i="22"/>
  <c r="HF16" i="22"/>
  <c r="HG16" i="22"/>
  <c r="HH16" i="22"/>
  <c r="HI16" i="22"/>
  <c r="HJ16" i="22"/>
  <c r="HK16" i="22"/>
  <c r="HL16" i="22"/>
  <c r="HM16" i="22"/>
  <c r="HN16" i="22"/>
  <c r="HO16" i="22"/>
  <c r="E42" i="19"/>
  <c r="HP16" i="22"/>
  <c r="HQ16" i="22"/>
  <c r="G42" i="19"/>
  <c r="HR16" i="22"/>
  <c r="HS16" i="22"/>
  <c r="HT16" i="22"/>
  <c r="HU16" i="22"/>
  <c r="HV16" i="22"/>
  <c r="HW16" i="22"/>
  <c r="HX16" i="22"/>
  <c r="HY16" i="22"/>
  <c r="HZ16" i="22"/>
  <c r="IA16" i="22"/>
  <c r="IB16" i="22"/>
  <c r="IC16" i="22"/>
  <c r="ID16" i="22"/>
  <c r="IE16" i="22"/>
  <c r="IF16" i="22"/>
  <c r="IG16" i="22"/>
  <c r="IH16" i="22"/>
  <c r="II16" i="22"/>
  <c r="IJ16" i="22"/>
  <c r="IK16" i="22"/>
  <c r="IL16" i="22"/>
  <c r="IM16" i="22"/>
  <c r="IN16" i="22"/>
  <c r="IO16" i="22"/>
  <c r="IP16" i="22"/>
  <c r="IQ16" i="22"/>
  <c r="IR16" i="22"/>
  <c r="IS16" i="22"/>
  <c r="IT16" i="22"/>
  <c r="IU16" i="22"/>
  <c r="IV16" i="22"/>
  <c r="A15" i="22"/>
  <c r="B15" i="22"/>
  <c r="C15" i="22"/>
  <c r="E8" i="19"/>
  <c r="D15" i="22"/>
  <c r="E15" i="22"/>
  <c r="G8" i="19"/>
  <c r="F15" i="22"/>
  <c r="G15" i="22"/>
  <c r="H15" i="22"/>
  <c r="I15" i="22"/>
  <c r="J15" i="22"/>
  <c r="K15" i="22"/>
  <c r="L15" i="22"/>
  <c r="M15" i="22"/>
  <c r="N15" i="22"/>
  <c r="O15" i="22"/>
  <c r="P15" i="22"/>
  <c r="Q15" i="22"/>
  <c r="E9" i="19"/>
  <c r="R15" i="22"/>
  <c r="S15" i="22"/>
  <c r="G9" i="19"/>
  <c r="T15" i="22"/>
  <c r="U15" i="22"/>
  <c r="V15" i="22"/>
  <c r="W15" i="22"/>
  <c r="X15" i="22"/>
  <c r="Y15" i="22"/>
  <c r="Z15" i="22"/>
  <c r="AA15" i="22"/>
  <c r="AB15" i="22"/>
  <c r="AC15" i="22"/>
  <c r="AD15" i="22"/>
  <c r="AE15" i="22"/>
  <c r="E10" i="19"/>
  <c r="AF15" i="22"/>
  <c r="AG15" i="22"/>
  <c r="G10" i="19"/>
  <c r="AH15" i="22"/>
  <c r="AI15" i="22"/>
  <c r="AJ15" i="22"/>
  <c r="AK15" i="22"/>
  <c r="AL15" i="22"/>
  <c r="AM15" i="22"/>
  <c r="AN15" i="22"/>
  <c r="AO15" i="22"/>
  <c r="AP15" i="22"/>
  <c r="AQ15" i="22"/>
  <c r="AR15" i="22"/>
  <c r="AS15" i="22"/>
  <c r="E11" i="19"/>
  <c r="AT15" i="22"/>
  <c r="AU15" i="22"/>
  <c r="G11" i="19"/>
  <c r="AV15" i="22"/>
  <c r="AW15" i="22"/>
  <c r="AX15" i="22"/>
  <c r="AY15" i="22"/>
  <c r="AZ15" i="22"/>
  <c r="BA15" i="22"/>
  <c r="BB15" i="22"/>
  <c r="BC15" i="22"/>
  <c r="BD15" i="22"/>
  <c r="BE15" i="22"/>
  <c r="BF15" i="22"/>
  <c r="BG15" i="22"/>
  <c r="E12" i="19"/>
  <c r="BH15" i="22"/>
  <c r="BI15" i="22"/>
  <c r="G12" i="19"/>
  <c r="BJ15" i="22"/>
  <c r="BK15" i="22"/>
  <c r="BL15" i="22"/>
  <c r="BM15" i="22"/>
  <c r="BN15" i="22"/>
  <c r="BO15" i="22"/>
  <c r="BP15" i="22"/>
  <c r="BQ15" i="22"/>
  <c r="BR15" i="22"/>
  <c r="BS15" i="22"/>
  <c r="BT15" i="22"/>
  <c r="BU15" i="22"/>
  <c r="BV15" i="22"/>
  <c r="BW15" i="22"/>
  <c r="BX15" i="22"/>
  <c r="BY15" i="22"/>
  <c r="BZ15" i="22"/>
  <c r="CA15" i="22"/>
  <c r="CB15" i="22"/>
  <c r="CC15" i="22"/>
  <c r="CD15" i="22"/>
  <c r="CE15" i="22"/>
  <c r="CF15" i="22"/>
  <c r="CG15" i="22"/>
  <c r="CH15" i="22"/>
  <c r="CI15" i="22"/>
  <c r="CJ15" i="22"/>
  <c r="CK15" i="22"/>
  <c r="CL15" i="22"/>
  <c r="CM15" i="22"/>
  <c r="CN15" i="22"/>
  <c r="CO15" i="22"/>
  <c r="CP15" i="22"/>
  <c r="CQ15" i="22"/>
  <c r="CR15" i="22"/>
  <c r="CS15" i="22"/>
  <c r="CT15" i="22"/>
  <c r="CU15" i="22"/>
  <c r="CV15" i="22"/>
  <c r="CW15" i="22"/>
  <c r="E15" i="19"/>
  <c r="CX15" i="22"/>
  <c r="CY15" i="22"/>
  <c r="G15" i="19"/>
  <c r="CZ15" i="22"/>
  <c r="DA15" i="22"/>
  <c r="DB15" i="22"/>
  <c r="DC15" i="22"/>
  <c r="DD15" i="22"/>
  <c r="DE15" i="22"/>
  <c r="DF15" i="22"/>
  <c r="DG15" i="22"/>
  <c r="DH15" i="22"/>
  <c r="DI15" i="22"/>
  <c r="DJ15" i="22"/>
  <c r="DK15" i="22"/>
  <c r="E16" i="19"/>
  <c r="DL15" i="22"/>
  <c r="DM15" i="22"/>
  <c r="G16" i="19"/>
  <c r="DN15" i="22"/>
  <c r="DO15" i="22"/>
  <c r="DP15" i="22"/>
  <c r="DQ15" i="22"/>
  <c r="DR15" i="22"/>
  <c r="DS15" i="22"/>
  <c r="DT15" i="22"/>
  <c r="DU15" i="22"/>
  <c r="DV15" i="22"/>
  <c r="DW15" i="22"/>
  <c r="DX15" i="22"/>
  <c r="DY15" i="22"/>
  <c r="E17" i="19"/>
  <c r="DZ15" i="22"/>
  <c r="EA15" i="22"/>
  <c r="G17" i="19"/>
  <c r="EB15" i="22"/>
  <c r="EC15" i="22"/>
  <c r="ED15" i="22"/>
  <c r="EE15" i="22"/>
  <c r="EF15" i="22"/>
  <c r="EG15" i="22"/>
  <c r="EH15" i="22"/>
  <c r="EI15" i="22"/>
  <c r="EJ15" i="22"/>
  <c r="EK15" i="22"/>
  <c r="EL15" i="22"/>
  <c r="EM15" i="22"/>
  <c r="E18" i="19"/>
  <c r="EN15" i="22"/>
  <c r="EO15" i="22"/>
  <c r="G18" i="19"/>
  <c r="EP15" i="22"/>
  <c r="EQ15" i="22"/>
  <c r="ER15" i="22"/>
  <c r="ES15" i="22"/>
  <c r="ET15" i="22"/>
  <c r="EU15" i="22"/>
  <c r="EV15" i="22"/>
  <c r="EW15" i="22"/>
  <c r="EX15" i="22"/>
  <c r="EY15" i="22"/>
  <c r="EZ15" i="22"/>
  <c r="FA15" i="22"/>
  <c r="E19" i="19"/>
  <c r="FB15" i="22"/>
  <c r="FC15" i="22"/>
  <c r="G19" i="19"/>
  <c r="FD15" i="22"/>
  <c r="FE15" i="22"/>
  <c r="FF15" i="22"/>
  <c r="FG15" i="22"/>
  <c r="FH15" i="22"/>
  <c r="FI15" i="22"/>
  <c r="FJ15" i="22"/>
  <c r="FK15" i="22"/>
  <c r="FL15" i="22"/>
  <c r="FM15" i="22"/>
  <c r="FN15" i="22"/>
  <c r="FO15" i="22"/>
  <c r="E20" i="19"/>
  <c r="FP15" i="22"/>
  <c r="FQ15" i="22"/>
  <c r="G20" i="19"/>
  <c r="FR15" i="22"/>
  <c r="FS15" i="22"/>
  <c r="FT15" i="22"/>
  <c r="FU15" i="22"/>
  <c r="FV15" i="22"/>
  <c r="FW15" i="22"/>
  <c r="FX15" i="22"/>
  <c r="FY15" i="22"/>
  <c r="FZ15" i="22"/>
  <c r="GA15" i="22"/>
  <c r="GB15" i="22"/>
  <c r="GC15" i="22"/>
  <c r="E21" i="19"/>
  <c r="GD15" i="22"/>
  <c r="GE15" i="22"/>
  <c r="G21" i="19"/>
  <c r="GF15" i="22"/>
  <c r="GG15" i="22"/>
  <c r="GH15" i="22"/>
  <c r="GI15" i="22"/>
  <c r="GJ15" i="22"/>
  <c r="GK15" i="22"/>
  <c r="GL15" i="22"/>
  <c r="GM15" i="22"/>
  <c r="GN15" i="22"/>
  <c r="GO15" i="22"/>
  <c r="GP15" i="22"/>
  <c r="GQ15" i="22"/>
  <c r="E22" i="19"/>
  <c r="GR15" i="22"/>
  <c r="GS15" i="22"/>
  <c r="G22" i="19"/>
  <c r="GT15" i="22"/>
  <c r="GU15" i="22"/>
  <c r="GV15" i="22"/>
  <c r="GW15" i="22"/>
  <c r="GX15" i="22"/>
  <c r="GY15" i="22"/>
  <c r="GZ15" i="22"/>
  <c r="HA15" i="22"/>
  <c r="HB15" i="22"/>
  <c r="HC15" i="22"/>
  <c r="HD15" i="22"/>
  <c r="HE15" i="22"/>
  <c r="HF15" i="22"/>
  <c r="HG15" i="22"/>
  <c r="HH15" i="22"/>
  <c r="HI15" i="22"/>
  <c r="HJ15" i="22"/>
  <c r="HK15" i="22"/>
  <c r="HL15" i="22"/>
  <c r="HM15" i="22"/>
  <c r="HN15" i="22"/>
  <c r="HO15" i="22"/>
  <c r="HP15" i="22"/>
  <c r="HQ15" i="22"/>
  <c r="HR15" i="22"/>
  <c r="HS15" i="22"/>
  <c r="HT15" i="22"/>
  <c r="HU15" i="22"/>
  <c r="HV15" i="22"/>
  <c r="HW15" i="22"/>
  <c r="HX15" i="22"/>
  <c r="HY15" i="22"/>
  <c r="HZ15" i="22"/>
  <c r="IA15" i="22"/>
  <c r="IB15" i="22"/>
  <c r="IC15" i="22"/>
  <c r="ID15" i="22"/>
  <c r="IE15" i="22"/>
  <c r="IF15" i="22"/>
  <c r="IG15" i="22"/>
  <c r="E25" i="19"/>
  <c r="IH15" i="22"/>
  <c r="II15" i="22"/>
  <c r="G25" i="19"/>
  <c r="IJ15" i="22"/>
  <c r="IK15" i="22"/>
  <c r="IL15" i="22"/>
  <c r="IM15" i="22"/>
  <c r="IN15" i="22"/>
  <c r="IO15" i="22"/>
  <c r="IP15" i="22"/>
  <c r="IQ15" i="22"/>
  <c r="IR15" i="22"/>
  <c r="IS15" i="22"/>
  <c r="IT15" i="22"/>
  <c r="IU15" i="22"/>
  <c r="E26" i="19"/>
  <c r="IV15" i="22"/>
  <c r="E78" i="20"/>
  <c r="A14" i="22"/>
  <c r="F78" i="20"/>
  <c r="B14" i="22"/>
  <c r="C14" i="22"/>
  <c r="D14" i="22"/>
  <c r="E14" i="22"/>
  <c r="F14" i="22"/>
  <c r="G14" i="22"/>
  <c r="L78" i="20"/>
  <c r="H14" i="22"/>
  <c r="M78" i="20"/>
  <c r="I14" i="22"/>
  <c r="J14" i="22"/>
  <c r="K14" i="22"/>
  <c r="L14" i="22"/>
  <c r="M14" i="22"/>
  <c r="N14" i="22"/>
  <c r="E79" i="20"/>
  <c r="O14" i="22"/>
  <c r="F79" i="20"/>
  <c r="P14" i="22"/>
  <c r="Q14" i="22"/>
  <c r="R14" i="22"/>
  <c r="S14" i="22"/>
  <c r="T14" i="22"/>
  <c r="U14" i="22"/>
  <c r="L79" i="20"/>
  <c r="V14" i="22"/>
  <c r="M79" i="20"/>
  <c r="W14" i="22"/>
  <c r="X14" i="22"/>
  <c r="Y14" i="22"/>
  <c r="Z14" i="22"/>
  <c r="AA14" i="22"/>
  <c r="AB14" i="22"/>
  <c r="E80" i="20"/>
  <c r="AC14" i="22"/>
  <c r="F80" i="20"/>
  <c r="AD14" i="22"/>
  <c r="AE14" i="22"/>
  <c r="AF14" i="22"/>
  <c r="AG14" i="22"/>
  <c r="AH14" i="22"/>
  <c r="AI14" i="22"/>
  <c r="L80" i="20"/>
  <c r="AJ14" i="22"/>
  <c r="M80" i="20"/>
  <c r="AK14" i="22"/>
  <c r="AL14" i="22"/>
  <c r="AM14" i="22"/>
  <c r="AN14" i="22"/>
  <c r="AO14" i="22"/>
  <c r="AP14" i="22"/>
  <c r="AQ14" i="22"/>
  <c r="AR14" i="22"/>
  <c r="AS14" i="22"/>
  <c r="AT14" i="22"/>
  <c r="AU14" i="22"/>
  <c r="AV14" i="22"/>
  <c r="AW14" i="22"/>
  <c r="AX14" i="22"/>
  <c r="AY14" i="22"/>
  <c r="AZ14" i="22"/>
  <c r="BA14" i="22"/>
  <c r="BB14" i="22"/>
  <c r="BC14" i="22"/>
  <c r="BD14" i="22"/>
  <c r="BE14" i="22"/>
  <c r="BF14" i="22"/>
  <c r="BG14" i="22"/>
  <c r="BH14" i="22"/>
  <c r="BI14" i="22"/>
  <c r="BJ14" i="22"/>
  <c r="BK14" i="22"/>
  <c r="BL14" i="22"/>
  <c r="BM14" i="22"/>
  <c r="BN14" i="22"/>
  <c r="BO14" i="22"/>
  <c r="BP14" i="22"/>
  <c r="BQ14" i="22"/>
  <c r="BR14" i="22"/>
  <c r="BS14" i="22"/>
  <c r="BT14" i="22"/>
  <c r="BU14" i="22"/>
  <c r="BV14" i="22"/>
  <c r="BW14" i="22"/>
  <c r="BX14" i="22"/>
  <c r="BY14" i="22"/>
  <c r="BZ14" i="22"/>
  <c r="CA14" i="22"/>
  <c r="CB14" i="22"/>
  <c r="CC14" i="22"/>
  <c r="CD14" i="22"/>
  <c r="CE14" i="22"/>
  <c r="CF14" i="22"/>
  <c r="CG14" i="22"/>
  <c r="CH14" i="22"/>
  <c r="CI14" i="22"/>
  <c r="CJ14" i="22"/>
  <c r="CK14" i="22"/>
  <c r="CL14" i="22"/>
  <c r="CM14" i="22"/>
  <c r="CN14" i="22"/>
  <c r="CO14" i="22"/>
  <c r="CP14" i="22"/>
  <c r="CQ14" i="22"/>
  <c r="CR14" i="22"/>
  <c r="CS14" i="22"/>
  <c r="CT14" i="22"/>
  <c r="CU14" i="22"/>
  <c r="CV14" i="22"/>
  <c r="CW14" i="22"/>
  <c r="CX14" i="22"/>
  <c r="CY14" i="22"/>
  <c r="CZ14" i="22"/>
  <c r="DA14" i="22"/>
  <c r="DB14" i="22"/>
  <c r="DC14" i="22"/>
  <c r="DD14" i="22"/>
  <c r="DE14" i="22"/>
  <c r="DF14" i="22"/>
  <c r="DG14" i="22"/>
  <c r="DH14" i="22"/>
  <c r="DI14" i="22"/>
  <c r="DJ14" i="22"/>
  <c r="DK14" i="22"/>
  <c r="DL14" i="22"/>
  <c r="DM14" i="22"/>
  <c r="DN14" i="22"/>
  <c r="DO14" i="22"/>
  <c r="DP14" i="22"/>
  <c r="DQ14" i="22"/>
  <c r="DR14" i="22"/>
  <c r="DS14" i="22"/>
  <c r="DT14" i="22"/>
  <c r="DU14" i="22"/>
  <c r="DV14" i="22"/>
  <c r="DW14" i="22"/>
  <c r="DX14" i="22"/>
  <c r="DY14" i="22"/>
  <c r="DZ14" i="22"/>
  <c r="EA14" i="22"/>
  <c r="EB14" i="22"/>
  <c r="EC14" i="22"/>
  <c r="ED14" i="22"/>
  <c r="EE14" i="22"/>
  <c r="EF14" i="22"/>
  <c r="EG14" i="22"/>
  <c r="EH14" i="22"/>
  <c r="EI14" i="22"/>
  <c r="EJ14" i="22"/>
  <c r="EK14" i="22"/>
  <c r="EL14" i="22"/>
  <c r="EM14" i="22"/>
  <c r="EN14" i="22"/>
  <c r="EO14" i="22"/>
  <c r="EP14" i="22"/>
  <c r="EQ14" i="22"/>
  <c r="ET14" i="22"/>
  <c r="EU14" i="22"/>
  <c r="EV14" i="22"/>
  <c r="EW14" i="22"/>
  <c r="EX14" i="22"/>
  <c r="FA14" i="22"/>
  <c r="FB14" i="22"/>
  <c r="FC14" i="22"/>
  <c r="FD14" i="22"/>
  <c r="FE14" i="22"/>
  <c r="FF14" i="22"/>
  <c r="FG14" i="22"/>
  <c r="FH14" i="22"/>
  <c r="FI14" i="22"/>
  <c r="G1" i="19"/>
  <c r="FJ14" i="22"/>
  <c r="FK14" i="22"/>
  <c r="FL14" i="22"/>
  <c r="FM14" i="22"/>
  <c r="FN14" i="22"/>
  <c r="FO14" i="22"/>
  <c r="FP14" i="22"/>
  <c r="FQ14" i="22"/>
  <c r="FR14" i="22"/>
  <c r="FS14" i="22"/>
  <c r="FT14" i="22"/>
  <c r="FU14" i="22"/>
  <c r="FV14" i="22"/>
  <c r="FW14" i="22"/>
  <c r="FX14" i="22"/>
  <c r="FY14" i="22"/>
  <c r="FZ14" i="22"/>
  <c r="GA14" i="22"/>
  <c r="GB14" i="22"/>
  <c r="GC14" i="22"/>
  <c r="GD14" i="22"/>
  <c r="GE14" i="22"/>
  <c r="GF14" i="22"/>
  <c r="GG14" i="22"/>
  <c r="GH14" i="22"/>
  <c r="GI14" i="22"/>
  <c r="GJ14" i="22"/>
  <c r="GK14" i="22"/>
  <c r="GL14" i="22"/>
  <c r="GM14" i="22"/>
  <c r="GN14" i="22"/>
  <c r="GO14" i="22"/>
  <c r="GP14" i="22"/>
  <c r="GQ14" i="22"/>
  <c r="GR14" i="22"/>
  <c r="GS14" i="22"/>
  <c r="GT14" i="22"/>
  <c r="GU14" i="22"/>
  <c r="GV14" i="22"/>
  <c r="GW14" i="22"/>
  <c r="GX14" i="22"/>
  <c r="GY14" i="22"/>
  <c r="GZ14" i="22"/>
  <c r="HA14" i="22"/>
  <c r="HB14" i="22"/>
  <c r="HC14" i="22"/>
  <c r="HD14" i="22"/>
  <c r="HE14" i="22"/>
  <c r="HF14" i="22"/>
  <c r="HG14" i="22"/>
  <c r="HH14" i="22"/>
  <c r="HI14" i="22"/>
  <c r="E5" i="19"/>
  <c r="HJ14" i="22"/>
  <c r="HK14" i="22"/>
  <c r="G5" i="19"/>
  <c r="HL14" i="22"/>
  <c r="HM14" i="22"/>
  <c r="HN14" i="22"/>
  <c r="HO14" i="22"/>
  <c r="HP14" i="22"/>
  <c r="HQ14" i="22"/>
  <c r="HR14" i="22"/>
  <c r="HS14" i="22"/>
  <c r="HT14" i="22"/>
  <c r="HU14" i="22"/>
  <c r="HV14" i="22"/>
  <c r="HW14" i="22"/>
  <c r="E6" i="19"/>
  <c r="HX14" i="22"/>
  <c r="HY14" i="22"/>
  <c r="G6" i="19"/>
  <c r="HZ14" i="22"/>
  <c r="IA14" i="22"/>
  <c r="IB14" i="22"/>
  <c r="IC14" i="22"/>
  <c r="ID14" i="22"/>
  <c r="IE14" i="22"/>
  <c r="IF14" i="22"/>
  <c r="IG14" i="22"/>
  <c r="IH14" i="22"/>
  <c r="II14" i="22"/>
  <c r="IJ14" i="22"/>
  <c r="IK14" i="22"/>
  <c r="E7" i="19"/>
  <c r="IL14" i="22"/>
  <c r="IM14" i="22"/>
  <c r="G7" i="19"/>
  <c r="IN14" i="22"/>
  <c r="IO14" i="22"/>
  <c r="IP14" i="22"/>
  <c r="IQ14" i="22"/>
  <c r="IR14" i="22"/>
  <c r="IS14" i="22"/>
  <c r="IT14" i="22"/>
  <c r="IU14" i="22"/>
  <c r="IV14" i="22"/>
  <c r="A13" i="22"/>
  <c r="B13" i="22"/>
  <c r="C13" i="22"/>
  <c r="D13" i="22"/>
  <c r="E13" i="22"/>
  <c r="F13" i="22"/>
  <c r="G13" i="22"/>
  <c r="H13" i="22"/>
  <c r="I13" i="22"/>
  <c r="J13" i="22"/>
  <c r="K13" i="22"/>
  <c r="L13" i="22"/>
  <c r="M13" i="22"/>
  <c r="N13" i="22"/>
  <c r="O13" i="22"/>
  <c r="P13" i="22"/>
  <c r="Q13" i="22"/>
  <c r="R13" i="22"/>
  <c r="E61" i="20"/>
  <c r="S13" i="22"/>
  <c r="F61" i="20"/>
  <c r="T13" i="22"/>
  <c r="U13" i="22"/>
  <c r="V13" i="22"/>
  <c r="W13" i="22"/>
  <c r="X13" i="22"/>
  <c r="Y13" i="22"/>
  <c r="L61" i="20"/>
  <c r="Z13" i="22"/>
  <c r="M61" i="20"/>
  <c r="AA13" i="22"/>
  <c r="AB13" i="22"/>
  <c r="AC13" i="22"/>
  <c r="AD13" i="22"/>
  <c r="AE13" i="22"/>
  <c r="AF13" i="22"/>
  <c r="E62" i="20"/>
  <c r="AG13" i="22"/>
  <c r="F62" i="20"/>
  <c r="AH13" i="22"/>
  <c r="AI13" i="22"/>
  <c r="AJ13" i="22"/>
  <c r="AK13" i="22"/>
  <c r="AL13" i="22"/>
  <c r="AM13" i="22"/>
  <c r="L62" i="20"/>
  <c r="AN13" i="22"/>
  <c r="M62" i="20"/>
  <c r="AO13" i="22"/>
  <c r="AP13" i="22"/>
  <c r="AQ13" i="22"/>
  <c r="AR13" i="22"/>
  <c r="AS13" i="22"/>
  <c r="AT13" i="22"/>
  <c r="E63" i="20"/>
  <c r="AU13" i="22"/>
  <c r="F63" i="20"/>
  <c r="AV13" i="22"/>
  <c r="AW13" i="22"/>
  <c r="AX13" i="22"/>
  <c r="AY13" i="22"/>
  <c r="AZ13" i="22"/>
  <c r="BA13" i="22"/>
  <c r="L63" i="20"/>
  <c r="BB13" i="22"/>
  <c r="M63" i="20"/>
  <c r="BC13" i="22"/>
  <c r="BD13" i="22"/>
  <c r="BE13" i="22"/>
  <c r="BF13" i="22"/>
  <c r="BG13" i="22"/>
  <c r="BH13" i="22"/>
  <c r="E64" i="20"/>
  <c r="BI13" i="22"/>
  <c r="F64" i="20"/>
  <c r="BJ13" i="22"/>
  <c r="BK13" i="22"/>
  <c r="BL13" i="22"/>
  <c r="BM13" i="22"/>
  <c r="BN13" i="22"/>
  <c r="BO13" i="22"/>
  <c r="L64" i="20"/>
  <c r="BP13" i="22"/>
  <c r="M64" i="20"/>
  <c r="BQ13" i="22"/>
  <c r="BR13" i="22"/>
  <c r="BS13" i="22"/>
  <c r="BT13" i="22"/>
  <c r="BU13" i="22"/>
  <c r="BV13" i="22"/>
  <c r="E65" i="20"/>
  <c r="BW13" i="22"/>
  <c r="F65" i="20"/>
  <c r="BX13" i="22"/>
  <c r="BY13" i="22"/>
  <c r="BZ13" i="22"/>
  <c r="CA13" i="22"/>
  <c r="CB13" i="22"/>
  <c r="CC13" i="22"/>
  <c r="L65" i="20"/>
  <c r="CD13" i="22"/>
  <c r="M65" i="20"/>
  <c r="CE13" i="22"/>
  <c r="CF13" i="22"/>
  <c r="CG13" i="22"/>
  <c r="CH13" i="22"/>
  <c r="CI13" i="22"/>
  <c r="CJ13" i="22"/>
  <c r="E66" i="20"/>
  <c r="CK13" i="22"/>
  <c r="F66" i="20"/>
  <c r="CL13" i="22"/>
  <c r="CM13" i="22"/>
  <c r="CN13" i="22"/>
  <c r="CO13" i="22"/>
  <c r="CP13" i="22"/>
  <c r="CQ13" i="22"/>
  <c r="L66" i="20"/>
  <c r="CR13" i="22"/>
  <c r="M66" i="20"/>
  <c r="CS13" i="22"/>
  <c r="CT13" i="22"/>
  <c r="CU13" i="22"/>
  <c r="CV13" i="22"/>
  <c r="CW13" i="22"/>
  <c r="CX13" i="22"/>
  <c r="E67" i="20"/>
  <c r="CY13" i="22"/>
  <c r="F67" i="20"/>
  <c r="CZ13" i="22"/>
  <c r="DA13" i="22"/>
  <c r="DB13" i="22"/>
  <c r="DC13" i="22"/>
  <c r="DD13" i="22"/>
  <c r="DE13" i="22"/>
  <c r="L67" i="20"/>
  <c r="DF13" i="22"/>
  <c r="M67" i="20"/>
  <c r="DG13" i="22"/>
  <c r="DH13" i="22"/>
  <c r="DI13" i="22"/>
  <c r="DJ13" i="22"/>
  <c r="DK13" i="22"/>
  <c r="DL13" i="22"/>
  <c r="E68" i="20"/>
  <c r="DM13" i="22"/>
  <c r="F68" i="20"/>
  <c r="DN13" i="22"/>
  <c r="DO13" i="22"/>
  <c r="DP13" i="22"/>
  <c r="DQ13" i="22"/>
  <c r="DR13" i="22"/>
  <c r="DS13" i="22"/>
  <c r="L68" i="20"/>
  <c r="DT13" i="22"/>
  <c r="M68" i="20"/>
  <c r="DU13" i="22"/>
  <c r="DV13" i="22"/>
  <c r="DW13" i="22"/>
  <c r="DX13" i="22"/>
  <c r="DY13" i="22"/>
  <c r="DZ13" i="22"/>
  <c r="E69" i="20"/>
  <c r="EA13" i="22"/>
  <c r="F69" i="20"/>
  <c r="EB13" i="22"/>
  <c r="EC13" i="22"/>
  <c r="ED13" i="22"/>
  <c r="EE13" i="22"/>
  <c r="EF13" i="22"/>
  <c r="EG13" i="22"/>
  <c r="L69" i="20"/>
  <c r="EH13" i="22"/>
  <c r="M69" i="20"/>
  <c r="EI13" i="22"/>
  <c r="EJ13" i="22"/>
  <c r="EK13" i="22"/>
  <c r="EL13" i="22"/>
  <c r="EM13" i="22"/>
  <c r="EN13" i="22"/>
  <c r="E70" i="20"/>
  <c r="EO13" i="22"/>
  <c r="F70" i="20"/>
  <c r="EP13" i="22"/>
  <c r="EQ13" i="22"/>
  <c r="ER13" i="22"/>
  <c r="ES13" i="22"/>
  <c r="ET13" i="22"/>
  <c r="EU13" i="22"/>
  <c r="L70" i="20"/>
  <c r="EV13" i="22"/>
  <c r="M70" i="20"/>
  <c r="EW13" i="22"/>
  <c r="EX13" i="22"/>
  <c r="EY13" i="22"/>
  <c r="EZ13" i="22"/>
  <c r="FA13" i="22"/>
  <c r="FB13" i="22"/>
  <c r="E71" i="20"/>
  <c r="FC13" i="22"/>
  <c r="F71" i="20"/>
  <c r="FD13" i="22"/>
  <c r="FE13" i="22"/>
  <c r="FF13" i="22"/>
  <c r="FG13" i="22"/>
  <c r="FH13" i="22"/>
  <c r="FI13" i="22"/>
  <c r="L71" i="20"/>
  <c r="FJ13" i="22"/>
  <c r="M71" i="20"/>
  <c r="FK13" i="22"/>
  <c r="FL13" i="22"/>
  <c r="FM13" i="22"/>
  <c r="FN13" i="22"/>
  <c r="FO13" i="22"/>
  <c r="FP13" i="22"/>
  <c r="E72" i="20"/>
  <c r="FQ13" i="22"/>
  <c r="F72" i="20"/>
  <c r="FR13" i="22"/>
  <c r="FS13" i="22"/>
  <c r="FT13" i="22"/>
  <c r="FU13" i="22"/>
  <c r="FV13" i="22"/>
  <c r="FW13" i="22"/>
  <c r="L72" i="20"/>
  <c r="FX13" i="22"/>
  <c r="M72" i="20"/>
  <c r="FY13" i="22"/>
  <c r="FZ13" i="22"/>
  <c r="GA13" i="22"/>
  <c r="GB13" i="22"/>
  <c r="GC13" i="22"/>
  <c r="GD13" i="22"/>
  <c r="E73" i="20"/>
  <c r="GE13" i="22"/>
  <c r="F73" i="20"/>
  <c r="GF13" i="22"/>
  <c r="GG13" i="22"/>
  <c r="GH13" i="22"/>
  <c r="GI13" i="22"/>
  <c r="GJ13" i="22"/>
  <c r="GK13" i="22"/>
  <c r="L73" i="20"/>
  <c r="GL13" i="22"/>
  <c r="M73" i="20"/>
  <c r="GM13" i="22"/>
  <c r="GN13" i="22"/>
  <c r="GO13" i="22"/>
  <c r="GP13" i="22"/>
  <c r="GQ13" i="22"/>
  <c r="GR13" i="22"/>
  <c r="E74" i="20"/>
  <c r="GS13" i="22"/>
  <c r="F74" i="20"/>
  <c r="GT13" i="22"/>
  <c r="GU13" i="22"/>
  <c r="GV13" i="22"/>
  <c r="GW13" i="22"/>
  <c r="GX13" i="22"/>
  <c r="GY13" i="22"/>
  <c r="L74" i="20"/>
  <c r="GZ13" i="22"/>
  <c r="M74" i="20"/>
  <c r="HA13" i="22"/>
  <c r="HB13" i="22"/>
  <c r="HC13" i="22"/>
  <c r="HD13" i="22"/>
  <c r="HE13" i="22"/>
  <c r="HF13" i="22"/>
  <c r="E75" i="20"/>
  <c r="HG13" i="22"/>
  <c r="F75" i="20"/>
  <c r="HH13" i="22"/>
  <c r="HI13" i="22"/>
  <c r="HJ13" i="22"/>
  <c r="HK13" i="22"/>
  <c r="HL13" i="22"/>
  <c r="HM13" i="22"/>
  <c r="L75" i="20"/>
  <c r="HN13" i="22"/>
  <c r="M75" i="20"/>
  <c r="HO13" i="22"/>
  <c r="HP13" i="22"/>
  <c r="HQ13" i="22"/>
  <c r="HR13" i="22"/>
  <c r="HS13" i="22"/>
  <c r="HT13" i="22"/>
  <c r="E76" i="20"/>
  <c r="HU13" i="22"/>
  <c r="F76" i="20"/>
  <c r="HV13" i="22"/>
  <c r="HW13" i="22"/>
  <c r="HX13" i="22"/>
  <c r="HY13" i="22"/>
  <c r="HZ13" i="22"/>
  <c r="IA13" i="22"/>
  <c r="L76" i="20"/>
  <c r="IB13" i="22"/>
  <c r="M76" i="20"/>
  <c r="IC13" i="22"/>
  <c r="ID13" i="22"/>
  <c r="IE13" i="22"/>
  <c r="IF13" i="22"/>
  <c r="IG13" i="22"/>
  <c r="IH13" i="22"/>
  <c r="E77" i="20"/>
  <c r="II13" i="22"/>
  <c r="F77" i="20"/>
  <c r="IJ13" i="22"/>
  <c r="IK13" i="22"/>
  <c r="IL13" i="22"/>
  <c r="IM13" i="22"/>
  <c r="IN13" i="22"/>
  <c r="IO13" i="22"/>
  <c r="L77" i="20"/>
  <c r="IP13" i="22"/>
  <c r="M77" i="20"/>
  <c r="IQ13" i="22"/>
  <c r="IR13" i="22"/>
  <c r="IS13" i="22"/>
  <c r="IT13" i="22"/>
  <c r="IU13" i="22"/>
  <c r="IV13" i="22"/>
  <c r="A12" i="22"/>
  <c r="L41" i="20"/>
  <c r="B12" i="22"/>
  <c r="M41" i="20"/>
  <c r="C12" i="22"/>
  <c r="D12" i="22"/>
  <c r="E12" i="22"/>
  <c r="F12" i="22"/>
  <c r="G12" i="22"/>
  <c r="H12" i="22"/>
  <c r="E42" i="20"/>
  <c r="I12" i="22"/>
  <c r="F42" i="20"/>
  <c r="J12" i="22"/>
  <c r="K12" i="22"/>
  <c r="L12" i="22"/>
  <c r="M12" i="22"/>
  <c r="N12" i="22"/>
  <c r="O12" i="22"/>
  <c r="L42" i="20"/>
  <c r="P12" i="22"/>
  <c r="M42" i="20"/>
  <c r="Q12" i="22"/>
  <c r="R12" i="22"/>
  <c r="S12" i="22"/>
  <c r="T12" i="22"/>
  <c r="U12" i="22"/>
  <c r="V12" i="22"/>
  <c r="E43" i="20"/>
  <c r="W12" i="22"/>
  <c r="F43" i="20"/>
  <c r="X12" i="22"/>
  <c r="Y12" i="22"/>
  <c r="Z12" i="22"/>
  <c r="AA12" i="22"/>
  <c r="AB12" i="22"/>
  <c r="AC12" i="22"/>
  <c r="L43" i="20"/>
  <c r="AD12" i="22"/>
  <c r="M43" i="20"/>
  <c r="AE12" i="22"/>
  <c r="AF12" i="22"/>
  <c r="AG12" i="22"/>
  <c r="AH12" i="22"/>
  <c r="AI12" i="22"/>
  <c r="AJ12" i="22"/>
  <c r="E44" i="20"/>
  <c r="AK12" i="22"/>
  <c r="F44" i="20"/>
  <c r="AL12" i="22"/>
  <c r="AM12" i="22"/>
  <c r="AN12" i="22"/>
  <c r="AO12" i="22"/>
  <c r="AP12" i="22"/>
  <c r="AQ12" i="22"/>
  <c r="L44" i="20"/>
  <c r="AR12" i="22"/>
  <c r="M44" i="20"/>
  <c r="AS12" i="22"/>
  <c r="AT12" i="22"/>
  <c r="AU12" i="22"/>
  <c r="AV12" i="22"/>
  <c r="AW12" i="22"/>
  <c r="AX12" i="22"/>
  <c r="E45" i="20"/>
  <c r="AY12" i="22"/>
  <c r="F45" i="20"/>
  <c r="AZ12" i="22"/>
  <c r="BA12" i="22"/>
  <c r="BB12" i="22"/>
  <c r="BC12" i="22"/>
  <c r="BD12" i="22"/>
  <c r="BE12" i="22"/>
  <c r="L45" i="20"/>
  <c r="BF12" i="22"/>
  <c r="M45" i="20"/>
  <c r="BG12" i="22"/>
  <c r="BH12" i="22"/>
  <c r="BI12" i="22"/>
  <c r="BJ12" i="22"/>
  <c r="BK12" i="22"/>
  <c r="BL12" i="22"/>
  <c r="E46" i="20"/>
  <c r="BM12" i="22"/>
  <c r="F46" i="20"/>
  <c r="BN12" i="22"/>
  <c r="BO12" i="22"/>
  <c r="BP12" i="22"/>
  <c r="BQ12" i="22"/>
  <c r="BR12" i="22"/>
  <c r="BS12" i="22"/>
  <c r="L46" i="20"/>
  <c r="BT12" i="22"/>
  <c r="M46" i="20"/>
  <c r="BU12" i="22"/>
  <c r="BV12" i="22"/>
  <c r="BW12" i="22"/>
  <c r="BX12" i="22"/>
  <c r="BY12" i="22"/>
  <c r="BZ12" i="22"/>
  <c r="E47" i="20"/>
  <c r="CA12" i="22"/>
  <c r="F47" i="20"/>
  <c r="CB12" i="22"/>
  <c r="CC12" i="22"/>
  <c r="CD12" i="22"/>
  <c r="CE12" i="22"/>
  <c r="CF12" i="22"/>
  <c r="CG12" i="22"/>
  <c r="L47" i="20"/>
  <c r="CH12" i="22"/>
  <c r="M47" i="20"/>
  <c r="CI12" i="22"/>
  <c r="CJ12" i="22"/>
  <c r="CK12" i="22"/>
  <c r="CL12" i="22"/>
  <c r="CM12" i="22"/>
  <c r="CN12" i="22"/>
  <c r="E48" i="20"/>
  <c r="CO12" i="22"/>
  <c r="F48" i="20"/>
  <c r="CP12" i="22"/>
  <c r="CQ12" i="22"/>
  <c r="CR12" i="22"/>
  <c r="CS12" i="22"/>
  <c r="CT12" i="22"/>
  <c r="CU12" i="22"/>
  <c r="L48" i="20"/>
  <c r="CV12" i="22"/>
  <c r="M48" i="20"/>
  <c r="CW12" i="22"/>
  <c r="CX12" i="22"/>
  <c r="CY12" i="22"/>
  <c r="CZ12" i="22"/>
  <c r="DA12" i="22"/>
  <c r="DB12" i="22"/>
  <c r="E49" i="20"/>
  <c r="DC12" i="22"/>
  <c r="F49" i="20"/>
  <c r="DD12" i="22"/>
  <c r="DE12" i="22"/>
  <c r="DF12" i="22"/>
  <c r="DG12" i="22"/>
  <c r="DH12" i="22"/>
  <c r="DI12" i="22"/>
  <c r="L49" i="20"/>
  <c r="DJ12" i="22"/>
  <c r="M49" i="20"/>
  <c r="DK12" i="22"/>
  <c r="DL12" i="22"/>
  <c r="DM12" i="22"/>
  <c r="DN12" i="22"/>
  <c r="DO12" i="22"/>
  <c r="DP12" i="22"/>
  <c r="E50" i="20"/>
  <c r="DQ12" i="22"/>
  <c r="F50" i="20"/>
  <c r="DR12" i="22"/>
  <c r="DS12" i="22"/>
  <c r="DT12" i="22"/>
  <c r="DU12" i="22"/>
  <c r="DV12" i="22"/>
  <c r="DW12" i="22"/>
  <c r="L50" i="20"/>
  <c r="DX12" i="22"/>
  <c r="M50" i="20"/>
  <c r="DY12" i="22"/>
  <c r="DZ12" i="22"/>
  <c r="EA12" i="22"/>
  <c r="EB12" i="22"/>
  <c r="EC12" i="22"/>
  <c r="ED12" i="22"/>
  <c r="E51" i="20"/>
  <c r="EE12" i="22"/>
  <c r="F51" i="20"/>
  <c r="EF12" i="22"/>
  <c r="EG12" i="22"/>
  <c r="EH12" i="22"/>
  <c r="EI12" i="22"/>
  <c r="EJ12" i="22"/>
  <c r="EK12" i="22"/>
  <c r="L51" i="20"/>
  <c r="EL12" i="22"/>
  <c r="M51" i="20"/>
  <c r="EM12" i="22"/>
  <c r="EN12" i="22"/>
  <c r="EO12" i="22"/>
  <c r="EP12" i="22"/>
  <c r="EQ12" i="22"/>
  <c r="ER12" i="22"/>
  <c r="E52" i="20"/>
  <c r="ES12" i="22"/>
  <c r="F52" i="20"/>
  <c r="ET12" i="22"/>
  <c r="EU12" i="22"/>
  <c r="EV12" i="22"/>
  <c r="EW12" i="22"/>
  <c r="EX12" i="22"/>
  <c r="EY12" i="22"/>
  <c r="L52" i="20"/>
  <c r="EZ12" i="22"/>
  <c r="M52" i="20"/>
  <c r="FA12" i="22"/>
  <c r="FB12" i="22"/>
  <c r="FC12" i="22"/>
  <c r="FD12" i="22"/>
  <c r="FE12" i="22"/>
  <c r="FF12" i="22"/>
  <c r="E53" i="20"/>
  <c r="FG12" i="22"/>
  <c r="F53" i="20"/>
  <c r="FH12" i="22"/>
  <c r="FI12" i="22"/>
  <c r="FJ12" i="22"/>
  <c r="FK12" i="22"/>
  <c r="FL12" i="22"/>
  <c r="FM12" i="22"/>
  <c r="L53" i="20"/>
  <c r="FN12" i="22"/>
  <c r="M53" i="20"/>
  <c r="FO12" i="22"/>
  <c r="FP12" i="22"/>
  <c r="FQ12" i="22"/>
  <c r="FR12" i="22"/>
  <c r="FS12" i="22"/>
  <c r="FT12" i="22"/>
  <c r="E54" i="20"/>
  <c r="FU12" i="22"/>
  <c r="F54" i="20"/>
  <c r="FV12" i="22"/>
  <c r="FW12" i="22"/>
  <c r="FX12" i="22"/>
  <c r="FY12" i="22"/>
  <c r="FZ12" i="22"/>
  <c r="GA12" i="22"/>
  <c r="L54" i="20"/>
  <c r="GB12" i="22"/>
  <c r="M54" i="20"/>
  <c r="GC12" i="22"/>
  <c r="GD12" i="22"/>
  <c r="GE12" i="22"/>
  <c r="GF12" i="22"/>
  <c r="GG12" i="22"/>
  <c r="GH12" i="22"/>
  <c r="E55" i="20"/>
  <c r="GI12" i="22"/>
  <c r="F55" i="20"/>
  <c r="GJ12" i="22"/>
  <c r="GK12" i="22"/>
  <c r="GL12" i="22"/>
  <c r="GM12" i="22"/>
  <c r="GN12" i="22"/>
  <c r="GO12" i="22"/>
  <c r="L55" i="20"/>
  <c r="GP12" i="22"/>
  <c r="M55" i="20"/>
  <c r="GQ12" i="22"/>
  <c r="GR12" i="22"/>
  <c r="GS12" i="22"/>
  <c r="GT12" i="22"/>
  <c r="GU12" i="22"/>
  <c r="GV12" i="22"/>
  <c r="E56" i="20"/>
  <c r="GW12" i="22"/>
  <c r="F56" i="20"/>
  <c r="GX12" i="22"/>
  <c r="GY12" i="22"/>
  <c r="GZ12" i="22"/>
  <c r="HA12" i="22"/>
  <c r="HB12" i="22"/>
  <c r="HC12" i="22"/>
  <c r="L56" i="20"/>
  <c r="HD12" i="22"/>
  <c r="M56" i="20"/>
  <c r="HE12" i="22"/>
  <c r="HF12" i="22"/>
  <c r="HG12" i="22"/>
  <c r="HH12" i="22"/>
  <c r="HI12" i="22"/>
  <c r="HJ12" i="22"/>
  <c r="E57" i="20"/>
  <c r="HK12" i="22"/>
  <c r="F57" i="20"/>
  <c r="HL12" i="22"/>
  <c r="HM12" i="22"/>
  <c r="HN12" i="22"/>
  <c r="HO12" i="22"/>
  <c r="HP12" i="22"/>
  <c r="HQ12" i="22"/>
  <c r="L57" i="20"/>
  <c r="HR12" i="22"/>
  <c r="M57" i="20"/>
  <c r="HS12" i="22"/>
  <c r="HT12" i="22"/>
  <c r="HU12" i="22"/>
  <c r="HV12" i="22"/>
  <c r="HW12" i="22"/>
  <c r="HX12" i="22"/>
  <c r="E58" i="20"/>
  <c r="HY12" i="22"/>
  <c r="F58" i="20"/>
  <c r="HZ12" i="22"/>
  <c r="IA12" i="22"/>
  <c r="IB12" i="22"/>
  <c r="IC12" i="22"/>
  <c r="ID12" i="22"/>
  <c r="IE12" i="22"/>
  <c r="L58" i="20"/>
  <c r="IF12" i="22"/>
  <c r="M58" i="20"/>
  <c r="IG12" i="22"/>
  <c r="IH12" i="22"/>
  <c r="II12" i="22"/>
  <c r="IJ12" i="22"/>
  <c r="IK12" i="22"/>
  <c r="IL12" i="22"/>
  <c r="IM12" i="22"/>
  <c r="IN12" i="22"/>
  <c r="IO12" i="22"/>
  <c r="IP12" i="22"/>
  <c r="IQ12" i="22"/>
  <c r="IR12" i="22"/>
  <c r="IS12" i="22"/>
  <c r="IT12" i="22"/>
  <c r="IU12" i="22"/>
  <c r="IV12" i="22"/>
  <c r="A11" i="22"/>
  <c r="B11" i="22"/>
  <c r="C11" i="22"/>
  <c r="D11" i="22"/>
  <c r="E11" i="22"/>
  <c r="L23" i="20"/>
  <c r="F11" i="22"/>
  <c r="M23" i="20"/>
  <c r="G11" i="22"/>
  <c r="H11" i="22"/>
  <c r="I11" i="22"/>
  <c r="J11" i="22"/>
  <c r="K11" i="22"/>
  <c r="L11" i="22"/>
  <c r="E24" i="20"/>
  <c r="M11" i="22"/>
  <c r="F24" i="20"/>
  <c r="N11" i="22"/>
  <c r="O11" i="22"/>
  <c r="P11" i="22"/>
  <c r="Q11" i="22"/>
  <c r="R11" i="22"/>
  <c r="S11" i="22"/>
  <c r="L24" i="20"/>
  <c r="T11" i="22"/>
  <c r="M24" i="20"/>
  <c r="U11" i="22"/>
  <c r="V11" i="22"/>
  <c r="W11" i="22"/>
  <c r="X11" i="22"/>
  <c r="Y11" i="22"/>
  <c r="Z11" i="22"/>
  <c r="E25" i="20"/>
  <c r="AA11" i="22"/>
  <c r="F25" i="20"/>
  <c r="AB11" i="22"/>
  <c r="AC11" i="22"/>
  <c r="AD11" i="22"/>
  <c r="AE11" i="22"/>
  <c r="AF11" i="22"/>
  <c r="AG11" i="22"/>
  <c r="L25" i="20"/>
  <c r="AH11" i="22"/>
  <c r="M25" i="20"/>
  <c r="AI11" i="22"/>
  <c r="AJ11" i="22"/>
  <c r="AK11" i="22"/>
  <c r="AL11" i="22"/>
  <c r="AM11" i="22"/>
  <c r="AN11" i="22"/>
  <c r="E26" i="20"/>
  <c r="AO11" i="22"/>
  <c r="F26" i="20"/>
  <c r="AP11" i="22"/>
  <c r="AQ11" i="22"/>
  <c r="AR11" i="22"/>
  <c r="AS11" i="22"/>
  <c r="AT11" i="22"/>
  <c r="AU11" i="22"/>
  <c r="L26" i="20"/>
  <c r="AV11" i="22"/>
  <c r="M26" i="20"/>
  <c r="AW11" i="22"/>
  <c r="AX11" i="22"/>
  <c r="AY11" i="22"/>
  <c r="AZ11" i="22"/>
  <c r="BA11" i="22"/>
  <c r="BB11" i="22"/>
  <c r="E27" i="20"/>
  <c r="BC11" i="22"/>
  <c r="F27" i="20"/>
  <c r="BD11" i="22"/>
  <c r="BE11" i="22"/>
  <c r="BF11" i="22"/>
  <c r="BG11" i="22"/>
  <c r="BH11" i="22"/>
  <c r="BI11" i="22"/>
  <c r="L27" i="20"/>
  <c r="BJ11" i="22"/>
  <c r="M27" i="20"/>
  <c r="BK11" i="22"/>
  <c r="BL11" i="22"/>
  <c r="BM11" i="22"/>
  <c r="BN11" i="22"/>
  <c r="BO11" i="22"/>
  <c r="BP11" i="22"/>
  <c r="E28" i="20"/>
  <c r="BQ11" i="22"/>
  <c r="F28" i="20"/>
  <c r="BR11" i="22"/>
  <c r="BS11" i="22"/>
  <c r="BT11" i="22"/>
  <c r="BU11" i="22"/>
  <c r="BV11" i="22"/>
  <c r="BW11" i="22"/>
  <c r="L28" i="20"/>
  <c r="BX11" i="22"/>
  <c r="M28" i="20"/>
  <c r="BY11" i="22"/>
  <c r="BZ11" i="22"/>
  <c r="CA11" i="22"/>
  <c r="CB11" i="22"/>
  <c r="CC11" i="22"/>
  <c r="CD11" i="22"/>
  <c r="E29" i="20"/>
  <c r="CE11" i="22"/>
  <c r="F29" i="20"/>
  <c r="CF11" i="22"/>
  <c r="CG11" i="22"/>
  <c r="CH11" i="22"/>
  <c r="CI11" i="22"/>
  <c r="CJ11" i="22"/>
  <c r="CK11" i="22"/>
  <c r="L29" i="20"/>
  <c r="CL11" i="22"/>
  <c r="M29" i="20"/>
  <c r="CM11" i="22"/>
  <c r="CN11" i="22"/>
  <c r="CO11" i="22"/>
  <c r="CP11" i="22"/>
  <c r="CQ11" i="22"/>
  <c r="CR11" i="22"/>
  <c r="E30" i="20"/>
  <c r="CS11" i="22"/>
  <c r="F30" i="20"/>
  <c r="CT11" i="22"/>
  <c r="CU11" i="22"/>
  <c r="CV11" i="22"/>
  <c r="CW11" i="22"/>
  <c r="CX11" i="22"/>
  <c r="CY11" i="22"/>
  <c r="L30" i="20"/>
  <c r="CZ11" i="22"/>
  <c r="M30" i="20"/>
  <c r="DA11" i="22"/>
  <c r="DB11" i="22"/>
  <c r="DC11" i="22"/>
  <c r="DD11" i="22"/>
  <c r="DE11" i="22"/>
  <c r="DF11" i="22"/>
  <c r="E31" i="20"/>
  <c r="DG11" i="22"/>
  <c r="F31" i="20"/>
  <c r="DH11" i="22"/>
  <c r="DI11" i="22"/>
  <c r="DJ11" i="22"/>
  <c r="DK11" i="22"/>
  <c r="DL11" i="22"/>
  <c r="DM11" i="22"/>
  <c r="L31" i="20"/>
  <c r="DN11" i="22"/>
  <c r="M31" i="20"/>
  <c r="DO11" i="22"/>
  <c r="DP11" i="22"/>
  <c r="DQ11" i="22"/>
  <c r="DR11" i="22"/>
  <c r="DS11" i="22"/>
  <c r="DT11" i="22"/>
  <c r="E32" i="20"/>
  <c r="DU11" i="22"/>
  <c r="F32" i="20"/>
  <c r="DV11" i="22"/>
  <c r="DW11" i="22"/>
  <c r="DX11" i="22"/>
  <c r="DY11" i="22"/>
  <c r="DZ11" i="22"/>
  <c r="EA11" i="22"/>
  <c r="L32" i="20"/>
  <c r="EB11" i="22"/>
  <c r="M32" i="20"/>
  <c r="EC11" i="22"/>
  <c r="ED11" i="22"/>
  <c r="EE11" i="22"/>
  <c r="EF11" i="22"/>
  <c r="EG11" i="22"/>
  <c r="EH11" i="22"/>
  <c r="E33" i="20"/>
  <c r="EI11" i="22"/>
  <c r="F33" i="20"/>
  <c r="EJ11" i="22"/>
  <c r="EK11" i="22"/>
  <c r="EL11" i="22"/>
  <c r="EM11" i="22"/>
  <c r="EN11" i="22"/>
  <c r="EO11" i="22"/>
  <c r="L33" i="20"/>
  <c r="EP11" i="22"/>
  <c r="M33" i="20"/>
  <c r="EQ11" i="22"/>
  <c r="ER11" i="22"/>
  <c r="ES11" i="22"/>
  <c r="ET11" i="22"/>
  <c r="EU11" i="22"/>
  <c r="EV11" i="22"/>
  <c r="E34" i="20"/>
  <c r="EW11" i="22"/>
  <c r="F34" i="20"/>
  <c r="EX11" i="22"/>
  <c r="EY11" i="22"/>
  <c r="EZ11" i="22"/>
  <c r="FA11" i="22"/>
  <c r="FB11" i="22"/>
  <c r="FC11" i="22"/>
  <c r="L34" i="20"/>
  <c r="FD11" i="22"/>
  <c r="M34" i="20"/>
  <c r="FE11" i="22"/>
  <c r="FF11" i="22"/>
  <c r="FG11" i="22"/>
  <c r="FH11" i="22"/>
  <c r="FI11" i="22"/>
  <c r="FJ11" i="22"/>
  <c r="E35" i="20"/>
  <c r="FK11" i="22"/>
  <c r="F35" i="20"/>
  <c r="FL11" i="22"/>
  <c r="FM11" i="22"/>
  <c r="FN11" i="22"/>
  <c r="FO11" i="22"/>
  <c r="FP11" i="22"/>
  <c r="FQ11" i="22"/>
  <c r="L35" i="20"/>
  <c r="FR11" i="22"/>
  <c r="M35" i="20"/>
  <c r="FS11" i="22"/>
  <c r="FT11" i="22"/>
  <c r="FU11" i="22"/>
  <c r="FV11" i="22"/>
  <c r="FW11" i="22"/>
  <c r="FX11" i="22"/>
  <c r="E36" i="20"/>
  <c r="FY11" i="22"/>
  <c r="F36" i="20"/>
  <c r="FZ11" i="22"/>
  <c r="GA11" i="22"/>
  <c r="GB11" i="22"/>
  <c r="GC11" i="22"/>
  <c r="GD11" i="22"/>
  <c r="GE11" i="22"/>
  <c r="L36" i="20"/>
  <c r="GF11" i="22"/>
  <c r="M36" i="20"/>
  <c r="GG11" i="22"/>
  <c r="GH11" i="22"/>
  <c r="GI11" i="22"/>
  <c r="GJ11" i="22"/>
  <c r="GK11" i="22"/>
  <c r="GL11" i="22"/>
  <c r="GM11" i="22"/>
  <c r="GN11" i="22"/>
  <c r="GO11" i="22"/>
  <c r="GP11" i="22"/>
  <c r="GQ11" i="22"/>
  <c r="GR11" i="22"/>
  <c r="GS11" i="22"/>
  <c r="GT11" i="22"/>
  <c r="GU11" i="22"/>
  <c r="GV11" i="22"/>
  <c r="GW11" i="22"/>
  <c r="GX11" i="22"/>
  <c r="GY11" i="22"/>
  <c r="GZ11" i="22"/>
  <c r="HA11" i="22"/>
  <c r="HB11" i="22"/>
  <c r="HC11" i="22"/>
  <c r="HD11" i="22"/>
  <c r="HE11" i="22"/>
  <c r="HF11" i="22"/>
  <c r="HG11" i="22"/>
  <c r="HH11" i="22"/>
  <c r="HI11" i="22"/>
  <c r="HJ11" i="22"/>
  <c r="HK11" i="22"/>
  <c r="HL11" i="22"/>
  <c r="HM11" i="22"/>
  <c r="HN11" i="22"/>
  <c r="E39" i="20"/>
  <c r="HO11" i="22"/>
  <c r="F39" i="20"/>
  <c r="HP11" i="22"/>
  <c r="HQ11" i="22"/>
  <c r="HR11" i="22"/>
  <c r="HS11" i="22"/>
  <c r="HT11" i="22"/>
  <c r="HU11" i="22"/>
  <c r="L39" i="20"/>
  <c r="HV11" i="22"/>
  <c r="M39" i="20"/>
  <c r="HW11" i="22"/>
  <c r="HX11" i="22"/>
  <c r="HY11" i="22"/>
  <c r="HZ11" i="22"/>
  <c r="IA11" i="22"/>
  <c r="IB11" i="22"/>
  <c r="E40" i="20"/>
  <c r="IC11" i="22"/>
  <c r="F40" i="20"/>
  <c r="ID11" i="22"/>
  <c r="IE11" i="22"/>
  <c r="IF11" i="22"/>
  <c r="IG11" i="22"/>
  <c r="IH11" i="22"/>
  <c r="II11" i="22"/>
  <c r="L40" i="20"/>
  <c r="IJ11" i="22"/>
  <c r="M40" i="20"/>
  <c r="IK11" i="22"/>
  <c r="IL11" i="22"/>
  <c r="IM11" i="22"/>
  <c r="IN11" i="22"/>
  <c r="IO11" i="22"/>
  <c r="IP11" i="22"/>
  <c r="E41" i="20"/>
  <c r="IQ11" i="22"/>
  <c r="F41" i="20"/>
  <c r="IR11" i="22"/>
  <c r="IS11" i="22"/>
  <c r="IT11" i="22"/>
  <c r="IU11" i="22"/>
  <c r="IV11" i="22"/>
  <c r="A10" i="22"/>
  <c r="B10" i="22"/>
  <c r="E5" i="20"/>
  <c r="C10" i="22"/>
  <c r="F5" i="20"/>
  <c r="D10" i="22"/>
  <c r="E10" i="22"/>
  <c r="F10" i="22"/>
  <c r="G10" i="22"/>
  <c r="H10" i="22"/>
  <c r="I10" i="22"/>
  <c r="L5" i="20"/>
  <c r="J10" i="22"/>
  <c r="M5" i="20"/>
  <c r="K10" i="22"/>
  <c r="M10" i="22"/>
  <c r="N10" i="22"/>
  <c r="O10" i="22"/>
  <c r="P10" i="22"/>
  <c r="E6" i="20"/>
  <c r="Q10" i="22"/>
  <c r="F6" i="20"/>
  <c r="R10" i="22"/>
  <c r="S10" i="22"/>
  <c r="T10" i="22"/>
  <c r="U10" i="22"/>
  <c r="V10" i="22"/>
  <c r="W10" i="22"/>
  <c r="L6" i="20"/>
  <c r="X10" i="22"/>
  <c r="M6" i="20"/>
  <c r="Y10" i="22"/>
  <c r="Z10" i="22"/>
  <c r="AA10" i="22"/>
  <c r="AB10" i="22"/>
  <c r="AC10" i="22"/>
  <c r="AD10" i="22"/>
  <c r="E7" i="20"/>
  <c r="AE10" i="22"/>
  <c r="F7" i="20"/>
  <c r="AF10" i="22"/>
  <c r="AG10" i="22"/>
  <c r="AH10" i="22"/>
  <c r="AI10" i="22"/>
  <c r="AJ10" i="22"/>
  <c r="AK10" i="22"/>
  <c r="L7" i="20"/>
  <c r="AL10" i="22"/>
  <c r="M7" i="20"/>
  <c r="AM10" i="22"/>
  <c r="AN10" i="22"/>
  <c r="AO10" i="22"/>
  <c r="AP10" i="22"/>
  <c r="AQ10" i="22"/>
  <c r="AR10" i="22"/>
  <c r="E8" i="20"/>
  <c r="AS10" i="22"/>
  <c r="F8" i="20"/>
  <c r="AT10" i="22"/>
  <c r="AU10" i="22"/>
  <c r="AV10" i="22"/>
  <c r="AW10" i="22"/>
  <c r="AX10" i="22"/>
  <c r="AY10" i="22"/>
  <c r="L8" i="20"/>
  <c r="AZ10" i="22"/>
  <c r="M8" i="20"/>
  <c r="BA10" i="22"/>
  <c r="BB10" i="22"/>
  <c r="BC10" i="22"/>
  <c r="BD10" i="22"/>
  <c r="BE10" i="22"/>
  <c r="BF10" i="22"/>
  <c r="E9" i="20"/>
  <c r="BG10" i="22"/>
  <c r="F9" i="20"/>
  <c r="BH10" i="22"/>
  <c r="BI10" i="22"/>
  <c r="BJ10" i="22"/>
  <c r="BK10" i="22"/>
  <c r="BL10" i="22"/>
  <c r="BM10" i="22"/>
  <c r="L9" i="20"/>
  <c r="BN10" i="22"/>
  <c r="M9" i="20"/>
  <c r="BO10" i="22"/>
  <c r="BP10" i="22"/>
  <c r="BQ10" i="22"/>
  <c r="BR10" i="22"/>
  <c r="BS10" i="22"/>
  <c r="BT10" i="22"/>
  <c r="E10" i="20"/>
  <c r="BU10" i="22"/>
  <c r="F10" i="20"/>
  <c r="BV10" i="22"/>
  <c r="BW10" i="22"/>
  <c r="BX10" i="22"/>
  <c r="BY10" i="22"/>
  <c r="BZ10" i="22"/>
  <c r="CA10" i="22"/>
  <c r="L10" i="20"/>
  <c r="CB10" i="22"/>
  <c r="M10" i="20"/>
  <c r="CC10" i="22"/>
  <c r="CD10" i="22"/>
  <c r="CE10" i="22"/>
  <c r="CF10" i="22"/>
  <c r="CG10" i="22"/>
  <c r="CH10" i="22"/>
  <c r="E11" i="20"/>
  <c r="CI10" i="22"/>
  <c r="F11" i="20"/>
  <c r="CJ10" i="22"/>
  <c r="CK10" i="22"/>
  <c r="CL10" i="22"/>
  <c r="CM10" i="22"/>
  <c r="CN10" i="22"/>
  <c r="CO10" i="22"/>
  <c r="L11" i="20"/>
  <c r="CP10" i="22"/>
  <c r="M11" i="20"/>
  <c r="CQ10" i="22"/>
  <c r="CR10" i="22"/>
  <c r="CS10" i="22"/>
  <c r="CT10" i="22"/>
  <c r="CU10" i="22"/>
  <c r="CV10" i="22"/>
  <c r="E12" i="20"/>
  <c r="CW10" i="22"/>
  <c r="F12" i="20"/>
  <c r="CX10" i="22"/>
  <c r="CY10" i="22"/>
  <c r="CZ10" i="22"/>
  <c r="DA10" i="22"/>
  <c r="DB10" i="22"/>
  <c r="DC10" i="22"/>
  <c r="L12" i="20"/>
  <c r="DD10" i="22"/>
  <c r="M12" i="20"/>
  <c r="DE10" i="22"/>
  <c r="DF10" i="22"/>
  <c r="DG10" i="22"/>
  <c r="DH10" i="22"/>
  <c r="DI10" i="22"/>
  <c r="DJ10" i="22"/>
  <c r="E13" i="20"/>
  <c r="DK10" i="22"/>
  <c r="F13" i="20"/>
  <c r="DL10" i="22"/>
  <c r="DM10" i="22"/>
  <c r="DN10" i="22"/>
  <c r="DO10" i="22"/>
  <c r="DP10" i="22"/>
  <c r="DQ10" i="22"/>
  <c r="L13" i="20"/>
  <c r="DR10" i="22"/>
  <c r="M13" i="20"/>
  <c r="DS10" i="22"/>
  <c r="DT10" i="22"/>
  <c r="DU10" i="22"/>
  <c r="DV10" i="22"/>
  <c r="DW10" i="22"/>
  <c r="DX10" i="22"/>
  <c r="E14" i="20"/>
  <c r="DY10" i="22"/>
  <c r="F14" i="20"/>
  <c r="DZ10" i="22"/>
  <c r="EA10" i="22"/>
  <c r="EB10" i="22"/>
  <c r="EC10" i="22"/>
  <c r="ED10" i="22"/>
  <c r="EE10" i="22"/>
  <c r="L14" i="20"/>
  <c r="EF10" i="22"/>
  <c r="M14" i="20"/>
  <c r="EG10" i="22"/>
  <c r="EH10" i="22"/>
  <c r="EI10" i="22"/>
  <c r="EJ10" i="22"/>
  <c r="EK10" i="22"/>
  <c r="EL10" i="22"/>
  <c r="EM10" i="22"/>
  <c r="EN10" i="22"/>
  <c r="EO10" i="22"/>
  <c r="EP10" i="22"/>
  <c r="EQ10" i="22"/>
  <c r="ER10" i="22"/>
  <c r="ES10" i="22"/>
  <c r="ET10" i="22"/>
  <c r="EU10" i="22"/>
  <c r="EV10" i="22"/>
  <c r="EW10" i="22"/>
  <c r="EX10" i="22"/>
  <c r="EY10" i="22"/>
  <c r="EZ10" i="22"/>
  <c r="FA10" i="22"/>
  <c r="FB10" i="22"/>
  <c r="FC10" i="22"/>
  <c r="FD10" i="22"/>
  <c r="FE10" i="22"/>
  <c r="FF10" i="22"/>
  <c r="FG10" i="22"/>
  <c r="FH10" i="22"/>
  <c r="FI10" i="22"/>
  <c r="FJ10" i="22"/>
  <c r="FK10" i="22"/>
  <c r="FL10" i="22"/>
  <c r="FM10" i="22"/>
  <c r="FN10" i="22"/>
  <c r="E17" i="20"/>
  <c r="FO10" i="22"/>
  <c r="F17" i="20"/>
  <c r="FP10" i="22"/>
  <c r="FQ10" i="22"/>
  <c r="FR10" i="22"/>
  <c r="FS10" i="22"/>
  <c r="FT10" i="22"/>
  <c r="FU10" i="22"/>
  <c r="L17" i="20"/>
  <c r="FV10" i="22"/>
  <c r="M17" i="20"/>
  <c r="FW10" i="22"/>
  <c r="FX10" i="22"/>
  <c r="FY10" i="22"/>
  <c r="FZ10" i="22"/>
  <c r="GA10" i="22"/>
  <c r="GB10" i="22"/>
  <c r="E18" i="20"/>
  <c r="GC10" i="22"/>
  <c r="F18" i="20"/>
  <c r="GD10" i="22"/>
  <c r="GE10" i="22"/>
  <c r="GF10" i="22"/>
  <c r="GG10" i="22"/>
  <c r="GH10" i="22"/>
  <c r="GI10" i="22"/>
  <c r="L18" i="20"/>
  <c r="GJ10" i="22"/>
  <c r="M18" i="20"/>
  <c r="GK10" i="22"/>
  <c r="GL10" i="22"/>
  <c r="GM10" i="22"/>
  <c r="GN10" i="22"/>
  <c r="GO10" i="22"/>
  <c r="GP10" i="22"/>
  <c r="E19" i="20"/>
  <c r="GQ10" i="22"/>
  <c r="F19" i="20"/>
  <c r="GR10" i="22"/>
  <c r="GS10" i="22"/>
  <c r="GT10" i="22"/>
  <c r="GU10" i="22"/>
  <c r="GV10" i="22"/>
  <c r="GW10" i="22"/>
  <c r="L19" i="20"/>
  <c r="GX10" i="22"/>
  <c r="M19" i="20"/>
  <c r="GY10" i="22"/>
  <c r="GZ10" i="22"/>
  <c r="HA10" i="22"/>
  <c r="HB10" i="22"/>
  <c r="HC10" i="22"/>
  <c r="HD10" i="22"/>
  <c r="E20" i="20"/>
  <c r="HE10" i="22"/>
  <c r="F20" i="20"/>
  <c r="HF10" i="22"/>
  <c r="HG10" i="22"/>
  <c r="HH10" i="22"/>
  <c r="HI10" i="22"/>
  <c r="HJ10" i="22"/>
  <c r="HK10" i="22"/>
  <c r="L20" i="20"/>
  <c r="HL10" i="22"/>
  <c r="M20" i="20"/>
  <c r="HM10" i="22"/>
  <c r="HN10" i="22"/>
  <c r="HO10" i="22"/>
  <c r="HP10" i="22"/>
  <c r="HQ10" i="22"/>
  <c r="HR10" i="22"/>
  <c r="E21" i="20"/>
  <c r="HS10" i="22"/>
  <c r="F21" i="20"/>
  <c r="HT10" i="22"/>
  <c r="HU10" i="22"/>
  <c r="HV10" i="22"/>
  <c r="HW10" i="22"/>
  <c r="HX10" i="22"/>
  <c r="HY10" i="22"/>
  <c r="L21" i="20"/>
  <c r="HZ10" i="22"/>
  <c r="M21" i="20"/>
  <c r="IA10" i="22"/>
  <c r="IB10" i="22"/>
  <c r="IC10" i="22"/>
  <c r="ID10" i="22"/>
  <c r="IE10" i="22"/>
  <c r="IF10" i="22"/>
  <c r="E22" i="20"/>
  <c r="IG10" i="22"/>
  <c r="F22" i="20"/>
  <c r="IH10" i="22"/>
  <c r="II10" i="22"/>
  <c r="IJ10" i="22"/>
  <c r="IK10" i="22"/>
  <c r="IL10" i="22"/>
  <c r="IM10" i="22"/>
  <c r="L22" i="20"/>
  <c r="IN10" i="22"/>
  <c r="M22" i="20"/>
  <c r="IO10" i="22"/>
  <c r="IP10" i="22"/>
  <c r="IQ10" i="22"/>
  <c r="IR10" i="22"/>
  <c r="IS10" i="22"/>
  <c r="IT10" i="22"/>
  <c r="E23" i="20"/>
  <c r="IU10" i="22"/>
  <c r="F23" i="20"/>
  <c r="IV10" i="22"/>
  <c r="L20" i="4"/>
  <c r="A9" i="22"/>
  <c r="M20" i="4"/>
  <c r="B9" i="22"/>
  <c r="C9" i="22"/>
  <c r="D9" i="22"/>
  <c r="E9" i="22"/>
  <c r="F9" i="22"/>
  <c r="G9" i="22"/>
  <c r="E21" i="4"/>
  <c r="H9" i="22"/>
  <c r="F21" i="4"/>
  <c r="I9" i="22"/>
  <c r="J9" i="22"/>
  <c r="K9" i="22"/>
  <c r="L9" i="22"/>
  <c r="M9" i="22"/>
  <c r="N9" i="22"/>
  <c r="L21" i="4"/>
  <c r="O9" i="22"/>
  <c r="M21" i="4"/>
  <c r="P9" i="22"/>
  <c r="Q9" i="22"/>
  <c r="R9" i="22"/>
  <c r="S9" i="22"/>
  <c r="T9" i="22"/>
  <c r="U9" i="22"/>
  <c r="E22" i="4"/>
  <c r="V9" i="22"/>
  <c r="F22" i="4"/>
  <c r="W9" i="22"/>
  <c r="X9" i="22"/>
  <c r="Y9" i="22"/>
  <c r="Z9" i="22"/>
  <c r="AA9" i="22"/>
  <c r="AB9" i="22"/>
  <c r="L22" i="4"/>
  <c r="AC9" i="22"/>
  <c r="M22" i="4"/>
  <c r="AD9" i="22"/>
  <c r="AE9" i="22"/>
  <c r="AF9" i="22"/>
  <c r="AG9" i="22"/>
  <c r="AH9" i="22"/>
  <c r="AI9" i="22"/>
  <c r="AJ9" i="22"/>
  <c r="AK9" i="22"/>
  <c r="AL9" i="22"/>
  <c r="AM9" i="22"/>
  <c r="AN9" i="22"/>
  <c r="AO9" i="22"/>
  <c r="AP9" i="22"/>
  <c r="AQ9" i="22"/>
  <c r="AR9" i="22"/>
  <c r="AS9" i="22"/>
  <c r="AT9" i="22"/>
  <c r="AU9" i="22"/>
  <c r="AV9" i="22"/>
  <c r="AW9" i="22"/>
  <c r="AX9" i="22"/>
  <c r="AY9" i="22"/>
  <c r="AZ9" i="22"/>
  <c r="BA9" i="22"/>
  <c r="BB9" i="22"/>
  <c r="BC9" i="22"/>
  <c r="BD9" i="22"/>
  <c r="BE9" i="22"/>
  <c r="BF9" i="22"/>
  <c r="BG9" i="22"/>
  <c r="BH9" i="22"/>
  <c r="BI9" i="22"/>
  <c r="BJ9" i="22"/>
  <c r="BK9" i="22"/>
  <c r="E25" i="4"/>
  <c r="BL9" i="22"/>
  <c r="F25" i="4"/>
  <c r="BM9" i="22"/>
  <c r="BN9" i="22"/>
  <c r="BO9" i="22"/>
  <c r="BP9" i="22"/>
  <c r="BQ9" i="22"/>
  <c r="BR9" i="22"/>
  <c r="L25" i="4"/>
  <c r="BS9" i="22"/>
  <c r="M25" i="4"/>
  <c r="BT9" i="22"/>
  <c r="BU9" i="22"/>
  <c r="BV9" i="22"/>
  <c r="BW9" i="22"/>
  <c r="BX9" i="22"/>
  <c r="BY9" i="22"/>
  <c r="E26" i="4"/>
  <c r="BZ9" i="22"/>
  <c r="F26" i="4"/>
  <c r="CA9" i="22"/>
  <c r="CB9" i="22"/>
  <c r="CC9" i="22"/>
  <c r="CD9" i="22"/>
  <c r="CE9" i="22"/>
  <c r="CF9" i="22"/>
  <c r="L26" i="4"/>
  <c r="CG9" i="22"/>
  <c r="M26" i="4"/>
  <c r="CH9" i="22"/>
  <c r="CI9" i="22"/>
  <c r="CJ9" i="22"/>
  <c r="CK9" i="22"/>
  <c r="CL9" i="22"/>
  <c r="CM9" i="22"/>
  <c r="E27" i="4"/>
  <c r="CN9" i="22"/>
  <c r="F27" i="4"/>
  <c r="CO9" i="22"/>
  <c r="CP9" i="22"/>
  <c r="CQ9" i="22"/>
  <c r="CR9" i="22"/>
  <c r="CS9" i="22"/>
  <c r="CT9" i="22"/>
  <c r="L27" i="4"/>
  <c r="CU9" i="22"/>
  <c r="M27" i="4"/>
  <c r="CV9" i="22"/>
  <c r="CW9" i="22"/>
  <c r="CX9" i="22"/>
  <c r="CY9" i="22"/>
  <c r="CZ9" i="22"/>
  <c r="DA9" i="22"/>
  <c r="E28" i="4"/>
  <c r="DB9" i="22"/>
  <c r="F28" i="4"/>
  <c r="DC9" i="22"/>
  <c r="DD9" i="22"/>
  <c r="DE9" i="22"/>
  <c r="DF9" i="22"/>
  <c r="DG9" i="22"/>
  <c r="DH9" i="22"/>
  <c r="L28" i="4"/>
  <c r="DI9" i="22"/>
  <c r="M28" i="4"/>
  <c r="DJ9" i="22"/>
  <c r="DK9" i="22"/>
  <c r="DL9" i="22"/>
  <c r="DM9" i="22"/>
  <c r="DN9" i="22"/>
  <c r="DO9" i="22"/>
  <c r="E29" i="4"/>
  <c r="DP9" i="22"/>
  <c r="F29" i="4"/>
  <c r="DQ9" i="22"/>
  <c r="DR9" i="22"/>
  <c r="DS9" i="22"/>
  <c r="DT9" i="22"/>
  <c r="DU9" i="22"/>
  <c r="DV9" i="22"/>
  <c r="L29" i="4"/>
  <c r="DW9" i="22"/>
  <c r="M29" i="4"/>
  <c r="DX9" i="22"/>
  <c r="DY9" i="22"/>
  <c r="DZ9" i="22"/>
  <c r="EA9" i="22"/>
  <c r="EB9" i="22"/>
  <c r="EC9" i="22"/>
  <c r="E30" i="4"/>
  <c r="ED9" i="22"/>
  <c r="F30" i="4"/>
  <c r="EE9" i="22"/>
  <c r="EF9" i="22"/>
  <c r="EG9" i="22"/>
  <c r="EH9" i="22"/>
  <c r="EI9" i="22"/>
  <c r="EJ9" i="22"/>
  <c r="L30" i="4"/>
  <c r="EK9" i="22"/>
  <c r="M30" i="4"/>
  <c r="EL9" i="22"/>
  <c r="EM9" i="22"/>
  <c r="EN9" i="22"/>
  <c r="EO9" i="22"/>
  <c r="EP9" i="22"/>
  <c r="EQ9" i="22"/>
  <c r="E31" i="4"/>
  <c r="ER9" i="22"/>
  <c r="F31" i="4"/>
  <c r="ES9" i="22"/>
  <c r="ET9" i="22"/>
  <c r="EU9" i="22"/>
  <c r="EV9" i="22"/>
  <c r="EW9" i="22"/>
  <c r="EX9" i="22"/>
  <c r="L31" i="4"/>
  <c r="EY9" i="22"/>
  <c r="M31" i="4"/>
  <c r="EZ9" i="22"/>
  <c r="FA9" i="22"/>
  <c r="FB9" i="22"/>
  <c r="FC9" i="22"/>
  <c r="FD9" i="22"/>
  <c r="FE9" i="22"/>
  <c r="E32" i="4"/>
  <c r="FF9" i="22"/>
  <c r="F32" i="4"/>
  <c r="FG9" i="22"/>
  <c r="FH9" i="22"/>
  <c r="FI9" i="22"/>
  <c r="FJ9" i="22"/>
  <c r="FK9" i="22"/>
  <c r="FL9" i="22"/>
  <c r="L32" i="4"/>
  <c r="FM9" i="22"/>
  <c r="M32" i="4"/>
  <c r="FN9" i="22"/>
  <c r="FO9" i="22"/>
  <c r="FP9" i="22"/>
  <c r="FQ9" i="22"/>
  <c r="FR9" i="22"/>
  <c r="FS9" i="22"/>
  <c r="FT9" i="22"/>
  <c r="FU9" i="22"/>
  <c r="FV9" i="22"/>
  <c r="FW9" i="22"/>
  <c r="FX9" i="22"/>
  <c r="FY9" i="22"/>
  <c r="FZ9" i="22"/>
  <c r="GA9" i="22"/>
  <c r="GB9" i="22"/>
  <c r="GC9" i="22"/>
  <c r="GD9" i="22"/>
  <c r="GE9" i="22"/>
  <c r="GF9" i="22"/>
  <c r="GI9" i="22"/>
  <c r="GJ9" i="22"/>
  <c r="GK9" i="22"/>
  <c r="GL9" i="22"/>
  <c r="GM9" i="22"/>
  <c r="GP9" i="22"/>
  <c r="GQ9" i="22"/>
  <c r="GR9" i="22"/>
  <c r="GS9" i="22"/>
  <c r="GT9" i="22"/>
  <c r="GU9" i="22"/>
  <c r="GV9" i="22"/>
  <c r="GW9" i="22"/>
  <c r="GX9" i="22"/>
  <c r="GY9" i="22"/>
  <c r="GZ9" i="22"/>
  <c r="HA9" i="22"/>
  <c r="HB9" i="22"/>
  <c r="M1" i="20"/>
  <c r="HC9" i="22"/>
  <c r="HD9" i="22"/>
  <c r="HE9" i="22"/>
  <c r="HF9" i="22"/>
  <c r="HG9" i="22"/>
  <c r="HH9" i="22"/>
  <c r="HI9" i="22"/>
  <c r="HJ9" i="22"/>
  <c r="HK9" i="22"/>
  <c r="HL9" i="22"/>
  <c r="HM9" i="22"/>
  <c r="HN9" i="22"/>
  <c r="HO9" i="22"/>
  <c r="HP9" i="22"/>
  <c r="HQ9" i="22"/>
  <c r="HR9" i="22"/>
  <c r="HS9" i="22"/>
  <c r="HT9" i="22"/>
  <c r="HU9" i="22"/>
  <c r="HV9" i="22"/>
  <c r="HW9" i="22"/>
  <c r="HX9" i="22"/>
  <c r="HY9" i="22"/>
  <c r="HZ9" i="22"/>
  <c r="IA9" i="22"/>
  <c r="IB9" i="22"/>
  <c r="IC9" i="22"/>
  <c r="ID9" i="22"/>
  <c r="IE9" i="22"/>
  <c r="IF9" i="22"/>
  <c r="IG9" i="22"/>
  <c r="IH9" i="22"/>
  <c r="II9" i="22"/>
  <c r="IJ9" i="22"/>
  <c r="IK9" i="22"/>
  <c r="IL9" i="22"/>
  <c r="IM9" i="22"/>
  <c r="IN9" i="22"/>
  <c r="IO9" i="22"/>
  <c r="IP9" i="22"/>
  <c r="IQ9" i="22"/>
  <c r="IR9" i="22"/>
  <c r="IS9" i="22"/>
  <c r="IT9" i="22"/>
  <c r="IU9" i="22"/>
  <c r="IV9" i="22"/>
  <c r="A8" i="22"/>
  <c r="B8" i="22"/>
  <c r="C8" i="22"/>
  <c r="D8" i="22"/>
  <c r="E8" i="22"/>
  <c r="F8" i="22"/>
  <c r="G8" i="22"/>
  <c r="H8" i="22"/>
  <c r="I8" i="22"/>
  <c r="J8" i="22"/>
  <c r="K8" i="22"/>
  <c r="L8" i="22"/>
  <c r="M8" i="22"/>
  <c r="N8" i="22"/>
  <c r="O8" i="22"/>
  <c r="P8" i="22"/>
  <c r="Q8" i="22"/>
  <c r="R8" i="22"/>
  <c r="S8" i="22"/>
  <c r="T8" i="22"/>
  <c r="U8" i="22"/>
  <c r="V8" i="22"/>
  <c r="W8" i="22"/>
  <c r="X8" i="22"/>
  <c r="Y8" i="22"/>
  <c r="Z8" i="22"/>
  <c r="AA8" i="22"/>
  <c r="AB8" i="22"/>
  <c r="AC8" i="22"/>
  <c r="AD8" i="22"/>
  <c r="AE8" i="22"/>
  <c r="AF8" i="22"/>
  <c r="AG8" i="22"/>
  <c r="AH8" i="22"/>
  <c r="AI8" i="22"/>
  <c r="AJ8" i="22"/>
  <c r="AK8" i="22"/>
  <c r="AL8" i="22"/>
  <c r="AM8" i="22"/>
  <c r="E5" i="4"/>
  <c r="AN8" i="22"/>
  <c r="F5" i="4"/>
  <c r="AO8" i="22"/>
  <c r="AP8" i="22"/>
  <c r="AQ8" i="22"/>
  <c r="AR8" i="22"/>
  <c r="AS8" i="22"/>
  <c r="AT8" i="22"/>
  <c r="L5" i="4"/>
  <c r="AU8" i="22"/>
  <c r="M5" i="4"/>
  <c r="AV8" i="22"/>
  <c r="AW8" i="22"/>
  <c r="AX8" i="22"/>
  <c r="AY8" i="22"/>
  <c r="AZ8" i="22"/>
  <c r="BA8" i="22"/>
  <c r="E6" i="4"/>
  <c r="BB8" i="22"/>
  <c r="F6" i="4"/>
  <c r="BC8" i="22"/>
  <c r="BD8" i="22"/>
  <c r="BE8" i="22"/>
  <c r="BF8" i="22"/>
  <c r="BG8" i="22"/>
  <c r="BH8" i="22"/>
  <c r="L6" i="4"/>
  <c r="BI8" i="22"/>
  <c r="M6" i="4"/>
  <c r="BJ8" i="22"/>
  <c r="BK8" i="22"/>
  <c r="BL8" i="22"/>
  <c r="BM8" i="22"/>
  <c r="BN8" i="22"/>
  <c r="BO8" i="22"/>
  <c r="E7" i="4"/>
  <c r="BP8" i="22"/>
  <c r="F7" i="4"/>
  <c r="BQ8" i="22"/>
  <c r="BR8" i="22"/>
  <c r="BS8" i="22"/>
  <c r="BT8" i="22"/>
  <c r="BU8" i="22"/>
  <c r="BV8" i="22"/>
  <c r="L7" i="4"/>
  <c r="BW8" i="22"/>
  <c r="M7" i="4"/>
  <c r="BX8" i="22"/>
  <c r="BY8" i="22"/>
  <c r="BZ8" i="22"/>
  <c r="CA8" i="22"/>
  <c r="CB8" i="22"/>
  <c r="CC8" i="22"/>
  <c r="E8" i="4"/>
  <c r="CD8" i="22"/>
  <c r="F8" i="4"/>
  <c r="CE8" i="22"/>
  <c r="CF8" i="22"/>
  <c r="CG8" i="22"/>
  <c r="CH8" i="22"/>
  <c r="CI8" i="22"/>
  <c r="CJ8" i="22"/>
  <c r="L8" i="4"/>
  <c r="CK8" i="22"/>
  <c r="M8" i="4"/>
  <c r="CL8" i="22"/>
  <c r="CM8" i="22"/>
  <c r="CN8" i="22"/>
  <c r="CO8" i="22"/>
  <c r="CP8" i="22"/>
  <c r="CQ8" i="22"/>
  <c r="E9" i="4"/>
  <c r="CR8" i="22"/>
  <c r="F9" i="4"/>
  <c r="CS8" i="22"/>
  <c r="CT8" i="22"/>
  <c r="CU8" i="22"/>
  <c r="CV8" i="22"/>
  <c r="CW8" i="22"/>
  <c r="CX8" i="22"/>
  <c r="L9" i="4"/>
  <c r="CY8" i="22"/>
  <c r="M9" i="4"/>
  <c r="CZ8" i="22"/>
  <c r="DA8" i="22"/>
  <c r="DB8" i="22"/>
  <c r="DC8" i="22"/>
  <c r="DD8" i="22"/>
  <c r="DE8" i="22"/>
  <c r="E10" i="4"/>
  <c r="DF8" i="22"/>
  <c r="F10" i="4"/>
  <c r="DG8" i="22"/>
  <c r="DH8" i="22"/>
  <c r="DI8" i="22"/>
  <c r="DJ8" i="22"/>
  <c r="DK8" i="22"/>
  <c r="DL8" i="22"/>
  <c r="L10" i="4"/>
  <c r="DM8" i="22"/>
  <c r="M10" i="4"/>
  <c r="DN8" i="22"/>
  <c r="DO8" i="22"/>
  <c r="DP8" i="22"/>
  <c r="DQ8" i="22"/>
  <c r="DR8" i="22"/>
  <c r="DS8" i="22"/>
  <c r="E11" i="4"/>
  <c r="DT8" i="22"/>
  <c r="F11" i="4"/>
  <c r="DU8" i="22"/>
  <c r="DV8" i="22"/>
  <c r="DW8" i="22"/>
  <c r="DX8" i="22"/>
  <c r="DY8" i="22"/>
  <c r="DZ8" i="22"/>
  <c r="L11" i="4"/>
  <c r="EA8" i="22"/>
  <c r="M11" i="4"/>
  <c r="EB8" i="22"/>
  <c r="EC8" i="22"/>
  <c r="ED8" i="22"/>
  <c r="EE8" i="22"/>
  <c r="EF8" i="22"/>
  <c r="EG8" i="22"/>
  <c r="E12" i="4"/>
  <c r="EH8" i="22"/>
  <c r="F12" i="4"/>
  <c r="EI8" i="22"/>
  <c r="EJ8" i="22"/>
  <c r="EK8" i="22"/>
  <c r="EL8" i="22"/>
  <c r="EM8" i="22"/>
  <c r="EN8" i="22"/>
  <c r="L12" i="4"/>
  <c r="EO8" i="22"/>
  <c r="M12" i="4"/>
  <c r="EP8" i="22"/>
  <c r="EQ8" i="22"/>
  <c r="ER8" i="22"/>
  <c r="ES8" i="22"/>
  <c r="ET8" i="22"/>
  <c r="EU8" i="22"/>
  <c r="EV8" i="22"/>
  <c r="EW8" i="22"/>
  <c r="EX8" i="22"/>
  <c r="EY8" i="22"/>
  <c r="EZ8" i="22"/>
  <c r="FA8" i="22"/>
  <c r="FB8" i="22"/>
  <c r="FC8" i="22"/>
  <c r="FD8" i="22"/>
  <c r="FE8" i="22"/>
  <c r="FF8" i="22"/>
  <c r="FG8" i="22"/>
  <c r="FH8" i="22"/>
  <c r="FI8" i="22"/>
  <c r="FJ8" i="22"/>
  <c r="FK8" i="22"/>
  <c r="FL8" i="22"/>
  <c r="FM8" i="22"/>
  <c r="FN8" i="22"/>
  <c r="FO8" i="22"/>
  <c r="FP8" i="22"/>
  <c r="FQ8" i="22"/>
  <c r="FR8" i="22"/>
  <c r="FS8" i="22"/>
  <c r="FT8" i="22"/>
  <c r="FU8" i="22"/>
  <c r="FV8" i="22"/>
  <c r="FW8" i="22"/>
  <c r="E15" i="4"/>
  <c r="FX8" i="22"/>
  <c r="F15" i="4"/>
  <c r="FY8" i="22"/>
  <c r="FZ8" i="22"/>
  <c r="GA8" i="22"/>
  <c r="GB8" i="22"/>
  <c r="GC8" i="22"/>
  <c r="GD8" i="22"/>
  <c r="L15" i="4"/>
  <c r="GE8" i="22"/>
  <c r="M15" i="4"/>
  <c r="GF8" i="22"/>
  <c r="GG8" i="22"/>
  <c r="GH8" i="22"/>
  <c r="GI8" i="22"/>
  <c r="GJ8" i="22"/>
  <c r="GK8" i="22"/>
  <c r="E16" i="4"/>
  <c r="GL8" i="22"/>
  <c r="F16" i="4"/>
  <c r="GM8" i="22"/>
  <c r="GN8" i="22"/>
  <c r="GO8" i="22"/>
  <c r="GP8" i="22"/>
  <c r="GQ8" i="22"/>
  <c r="GR8" i="22"/>
  <c r="L16" i="4"/>
  <c r="GS8" i="22"/>
  <c r="M16" i="4"/>
  <c r="GT8" i="22"/>
  <c r="GU8" i="22"/>
  <c r="GV8" i="22"/>
  <c r="GW8" i="22"/>
  <c r="GX8" i="22"/>
  <c r="GY8" i="22"/>
  <c r="E17" i="4"/>
  <c r="GZ8" i="22"/>
  <c r="F17" i="4"/>
  <c r="HA8" i="22"/>
  <c r="HB8" i="22"/>
  <c r="HC8" i="22"/>
  <c r="HD8" i="22"/>
  <c r="HE8" i="22"/>
  <c r="HF8" i="22"/>
  <c r="L17" i="4"/>
  <c r="HG8" i="22"/>
  <c r="M17" i="4"/>
  <c r="HH8" i="22"/>
  <c r="HI8" i="22"/>
  <c r="HJ8" i="22"/>
  <c r="HK8" i="22"/>
  <c r="HL8" i="22"/>
  <c r="HM8" i="22"/>
  <c r="E18" i="4"/>
  <c r="HN8" i="22"/>
  <c r="F18" i="4"/>
  <c r="HO8" i="22"/>
  <c r="HP8" i="22"/>
  <c r="HQ8" i="22"/>
  <c r="HR8" i="22"/>
  <c r="HS8" i="22"/>
  <c r="HT8" i="22"/>
  <c r="L18" i="4"/>
  <c r="HU8" i="22"/>
  <c r="M18" i="4"/>
  <c r="HV8" i="22"/>
  <c r="HW8" i="22"/>
  <c r="HX8" i="22"/>
  <c r="HY8" i="22"/>
  <c r="HZ8" i="22"/>
  <c r="IA8" i="22"/>
  <c r="E19" i="4"/>
  <c r="IB8" i="22"/>
  <c r="F19" i="4"/>
  <c r="IC8" i="22"/>
  <c r="ID8" i="22"/>
  <c r="IE8" i="22"/>
  <c r="IF8" i="22"/>
  <c r="IG8" i="22"/>
  <c r="IH8" i="22"/>
  <c r="L19" i="4"/>
  <c r="II8" i="22"/>
  <c r="M19" i="4"/>
  <c r="IJ8" i="22"/>
  <c r="IK8" i="22"/>
  <c r="IL8" i="22"/>
  <c r="IM8" i="22"/>
  <c r="IN8" i="22"/>
  <c r="IO8" i="22"/>
  <c r="E20" i="4"/>
  <c r="IP8" i="22"/>
  <c r="F20" i="4"/>
  <c r="IQ8" i="22"/>
  <c r="IR8" i="22"/>
  <c r="IS8" i="22"/>
  <c r="IT8" i="22"/>
  <c r="IU8" i="22"/>
  <c r="IV8" i="22"/>
  <c r="A7" i="22"/>
  <c r="D7" i="22"/>
  <c r="E7" i="22"/>
  <c r="F7" i="22"/>
  <c r="G7" i="22"/>
  <c r="H7" i="22"/>
  <c r="I7" i="22"/>
  <c r="J7" i="22"/>
  <c r="K7" i="22"/>
  <c r="L7" i="22"/>
  <c r="M7" i="22"/>
  <c r="N7" i="22"/>
  <c r="O7" i="22"/>
  <c r="P7" i="22"/>
  <c r="Q7" i="22"/>
  <c r="R7" i="22"/>
  <c r="S7" i="22"/>
  <c r="T7" i="22"/>
  <c r="U7" i="22"/>
  <c r="V7" i="22"/>
  <c r="W7" i="22"/>
  <c r="X7" i="22"/>
  <c r="O1" i="3"/>
  <c r="Y7" i="22"/>
  <c r="Z7" i="22"/>
  <c r="AA7" i="22"/>
  <c r="AB7" i="22"/>
  <c r="AC7" i="22"/>
  <c r="AD7" i="22"/>
  <c r="AE7" i="22"/>
  <c r="AF7" i="22"/>
  <c r="AG7" i="22"/>
  <c r="AH7" i="22"/>
  <c r="AI7" i="22"/>
  <c r="AJ7" i="22"/>
  <c r="AK7" i="22"/>
  <c r="AL7" i="22"/>
  <c r="AM7" i="22"/>
  <c r="AN7" i="22"/>
  <c r="AO7" i="22"/>
  <c r="AP7" i="22"/>
  <c r="AQ7" i="22"/>
  <c r="AR7" i="22"/>
  <c r="AS7" i="22"/>
  <c r="AT7" i="22"/>
  <c r="AU7" i="22"/>
  <c r="AV7" i="22"/>
  <c r="AW7" i="22"/>
  <c r="AX7" i="22"/>
  <c r="AY7" i="22"/>
  <c r="AZ7" i="22"/>
  <c r="BA7" i="22"/>
  <c r="BB7" i="22"/>
  <c r="BC7" i="22"/>
  <c r="BD7" i="22"/>
  <c r="BE7" i="22"/>
  <c r="BF7" i="22"/>
  <c r="BG7" i="22"/>
  <c r="BH7" i="22"/>
  <c r="BI7" i="22"/>
  <c r="BJ7" i="22"/>
  <c r="BK7" i="22"/>
  <c r="BL7" i="22"/>
  <c r="BM7" i="22"/>
  <c r="BN7" i="22"/>
  <c r="BO7" i="22"/>
  <c r="BP7" i="22"/>
  <c r="BQ7" i="22"/>
  <c r="BR7" i="22"/>
  <c r="BS7" i="22"/>
  <c r="BT7" i="22"/>
  <c r="E5" i="3"/>
  <c r="BU7" i="22"/>
  <c r="F5" i="3"/>
  <c r="BV7" i="22"/>
  <c r="BW7" i="22"/>
  <c r="BX7" i="22"/>
  <c r="BY7" i="22"/>
  <c r="BZ7" i="22"/>
  <c r="CA7" i="22"/>
  <c r="M5" i="3"/>
  <c r="CB7" i="22"/>
  <c r="N5" i="3"/>
  <c r="CC7" i="22"/>
  <c r="CD7" i="22"/>
  <c r="CE7" i="22"/>
  <c r="CF7" i="22"/>
  <c r="CG7" i="22"/>
  <c r="CH7" i="22"/>
  <c r="E6" i="3"/>
  <c r="CI7" i="22"/>
  <c r="F6" i="3"/>
  <c r="CJ7" i="22"/>
  <c r="CK7" i="22"/>
  <c r="CL7" i="22"/>
  <c r="CM7" i="22"/>
  <c r="CN7" i="22"/>
  <c r="CO7" i="22"/>
  <c r="M6" i="3"/>
  <c r="CP7" i="22"/>
  <c r="N6" i="3"/>
  <c r="CQ7" i="22"/>
  <c r="CR7" i="22"/>
  <c r="CS7" i="22"/>
  <c r="CT7" i="22"/>
  <c r="CU7" i="22"/>
  <c r="CV7" i="22"/>
  <c r="E7" i="3"/>
  <c r="CW7" i="22"/>
  <c r="F7" i="3"/>
  <c r="CX7" i="22"/>
  <c r="CY7" i="22"/>
  <c r="CZ7" i="22"/>
  <c r="DA7" i="22"/>
  <c r="DB7" i="22"/>
  <c r="DC7" i="22"/>
  <c r="M7" i="3"/>
  <c r="DD7" i="22"/>
  <c r="N7" i="3"/>
  <c r="DE7" i="22"/>
  <c r="DF7" i="22"/>
  <c r="DG7" i="22"/>
  <c r="DH7" i="22"/>
  <c r="DI7" i="22"/>
  <c r="DJ7" i="22"/>
  <c r="E8" i="3"/>
  <c r="DK7" i="22"/>
  <c r="F8" i="3"/>
  <c r="DL7" i="22"/>
  <c r="DM7" i="22"/>
  <c r="DN7" i="22"/>
  <c r="DO7" i="22"/>
  <c r="DP7" i="22"/>
  <c r="DQ7" i="22"/>
  <c r="M8" i="3"/>
  <c r="DR7" i="22"/>
  <c r="N8" i="3"/>
  <c r="DS7" i="22"/>
  <c r="DT7" i="22"/>
  <c r="DU7" i="22"/>
  <c r="DV7" i="22"/>
  <c r="DW7" i="22"/>
  <c r="DX7" i="22"/>
  <c r="E9" i="3"/>
  <c r="DY7" i="22"/>
  <c r="F9" i="3"/>
  <c r="DZ7" i="22"/>
  <c r="EA7" i="22"/>
  <c r="EB7" i="22"/>
  <c r="EC7" i="22"/>
  <c r="ED7" i="22"/>
  <c r="EE7" i="22"/>
  <c r="M9" i="3"/>
  <c r="EF7" i="22"/>
  <c r="N9" i="3"/>
  <c r="EG7" i="22"/>
  <c r="EH7" i="22"/>
  <c r="EI7" i="22"/>
  <c r="EJ7" i="22"/>
  <c r="EK7" i="22"/>
  <c r="EL7" i="22"/>
  <c r="E10" i="3"/>
  <c r="EM7" i="22"/>
  <c r="F10" i="3"/>
  <c r="EN7" i="22"/>
  <c r="EO7" i="22"/>
  <c r="EP7" i="22"/>
  <c r="EQ7" i="22"/>
  <c r="ER7" i="22"/>
  <c r="ES7" i="22"/>
  <c r="M10" i="3"/>
  <c r="ET7" i="22"/>
  <c r="N10" i="3"/>
  <c r="EU7" i="22"/>
  <c r="EV7" i="22"/>
  <c r="EW7" i="22"/>
  <c r="EX7" i="22"/>
  <c r="EY7" i="22"/>
  <c r="EZ7" i="22"/>
  <c r="E11" i="3"/>
  <c r="FA7" i="22"/>
  <c r="F11" i="3"/>
  <c r="FB7" i="22"/>
  <c r="FC7" i="22"/>
  <c r="FD7" i="22"/>
  <c r="FE7" i="22"/>
  <c r="FF7" i="22"/>
  <c r="FG7" i="22"/>
  <c r="M11" i="3"/>
  <c r="FH7" i="22"/>
  <c r="N11" i="3"/>
  <c r="FI7" i="22"/>
  <c r="FJ7" i="22"/>
  <c r="FK7" i="22"/>
  <c r="FL7" i="22"/>
  <c r="FM7" i="22"/>
  <c r="FN7" i="22"/>
  <c r="E12" i="3"/>
  <c r="FO7" i="22"/>
  <c r="F12" i="3"/>
  <c r="FP7" i="22"/>
  <c r="FQ7" i="22"/>
  <c r="FR7" i="22"/>
  <c r="FS7" i="22"/>
  <c r="FT7" i="22"/>
  <c r="FU7" i="22"/>
  <c r="M12" i="3"/>
  <c r="FV7" i="22"/>
  <c r="N12" i="3"/>
  <c r="FW7" i="22"/>
  <c r="FX7" i="22"/>
  <c r="FY7" i="22"/>
  <c r="FZ7" i="22"/>
  <c r="GA7" i="22"/>
  <c r="GB7" i="22"/>
  <c r="E13" i="3"/>
  <c r="GC7" i="22"/>
  <c r="F13" i="3"/>
  <c r="GD7" i="22"/>
  <c r="GE7" i="22"/>
  <c r="GF7" i="22"/>
  <c r="GG7" i="22"/>
  <c r="GH7" i="22"/>
  <c r="GI7" i="22"/>
  <c r="M13" i="3"/>
  <c r="GJ7" i="22"/>
  <c r="N13" i="3"/>
  <c r="GK7" i="22"/>
  <c r="GL7" i="22"/>
  <c r="GM7" i="22"/>
  <c r="GN7" i="22"/>
  <c r="GO7" i="22"/>
  <c r="GP7" i="22"/>
  <c r="E14" i="3"/>
  <c r="GQ7" i="22"/>
  <c r="F14" i="3"/>
  <c r="GR7" i="22"/>
  <c r="GS7" i="22"/>
  <c r="GT7" i="22"/>
  <c r="GU7" i="22"/>
  <c r="GV7" i="22"/>
  <c r="GW7" i="22"/>
  <c r="M14" i="3"/>
  <c r="GX7" i="22"/>
  <c r="N14" i="3"/>
  <c r="GY7" i="22"/>
  <c r="GZ7" i="22"/>
  <c r="HA7" i="22"/>
  <c r="HB7" i="22"/>
  <c r="HC7" i="22"/>
  <c r="HD7" i="22"/>
  <c r="E20" i="3"/>
  <c r="HE7" i="22"/>
  <c r="F20" i="3"/>
  <c r="HF7" i="22"/>
  <c r="HG7" i="22"/>
  <c r="HH7" i="22"/>
  <c r="HI7" i="22"/>
  <c r="HJ7" i="22"/>
  <c r="HK7" i="22"/>
  <c r="M20" i="3"/>
  <c r="HL7" i="22"/>
  <c r="N20" i="3"/>
  <c r="HM7" i="22"/>
  <c r="HN7" i="22"/>
  <c r="HO7" i="22"/>
  <c r="HP7" i="22"/>
  <c r="HQ7" i="22"/>
  <c r="HT7" i="22"/>
  <c r="HU7" i="22"/>
  <c r="HV7" i="22"/>
  <c r="HW7" i="22"/>
  <c r="HX7" i="22"/>
  <c r="IA7" i="22"/>
  <c r="IB7" i="22"/>
  <c r="IC7" i="22"/>
  <c r="ID7" i="22"/>
  <c r="IE7" i="22"/>
  <c r="IF7" i="22"/>
  <c r="IG7" i="22"/>
  <c r="IH7" i="22"/>
  <c r="II7" i="22"/>
  <c r="IJ7" i="22"/>
  <c r="IK7" i="22"/>
  <c r="IL7" i="22"/>
  <c r="IM7" i="22"/>
  <c r="M1" i="4"/>
  <c r="IN7" i="22"/>
  <c r="IO7" i="22"/>
  <c r="IP7" i="22"/>
  <c r="IQ7" i="22"/>
  <c r="IR7" i="22"/>
  <c r="IS7" i="22"/>
  <c r="IT7" i="22"/>
  <c r="IU7" i="22"/>
  <c r="IV7" i="22"/>
  <c r="A6" i="22"/>
  <c r="B6" i="22"/>
  <c r="C6" i="22"/>
  <c r="D6" i="22"/>
  <c r="E6" i="22"/>
  <c r="F6" i="22"/>
  <c r="G6" i="22"/>
  <c r="H6" i="22"/>
  <c r="I6" i="22"/>
  <c r="J6" i="22"/>
  <c r="K6" i="22"/>
  <c r="L6" i="22"/>
  <c r="M6" i="22"/>
  <c r="N6" i="22"/>
  <c r="O6" i="22"/>
  <c r="P6" i="22"/>
  <c r="Q6" i="22"/>
  <c r="R6" i="22"/>
  <c r="S6" i="22"/>
  <c r="T6" i="22"/>
  <c r="U6" i="22"/>
  <c r="V6" i="22"/>
  <c r="W6" i="22"/>
  <c r="X6" i="22"/>
  <c r="Y6" i="22"/>
  <c r="Z6" i="22"/>
  <c r="AA6" i="22"/>
  <c r="AB6" i="22"/>
  <c r="AC6" i="22"/>
  <c r="AD6" i="22"/>
  <c r="AE6" i="22"/>
  <c r="AF6" i="22"/>
  <c r="AG6" i="22"/>
  <c r="AH6" i="22"/>
  <c r="AI6" i="22"/>
  <c r="AJ6" i="22"/>
  <c r="AK6" i="22"/>
  <c r="AL6" i="22"/>
  <c r="AM6" i="22"/>
  <c r="AN6" i="22"/>
  <c r="AO6" i="22"/>
  <c r="AP6" i="22"/>
  <c r="AQ6" i="22"/>
  <c r="AR6" i="22"/>
  <c r="AS6" i="22"/>
  <c r="AT6" i="22"/>
  <c r="AU6" i="22"/>
  <c r="AV6" i="22"/>
  <c r="AW6" i="22"/>
  <c r="AX6" i="22"/>
  <c r="AY6" i="22"/>
  <c r="AZ6" i="22"/>
  <c r="BA6" i="22"/>
  <c r="BB6" i="22"/>
  <c r="BC6" i="22"/>
  <c r="BD6" i="22"/>
  <c r="BE6" i="22"/>
  <c r="BF6" i="22"/>
  <c r="BG6" i="22"/>
  <c r="BH6" i="22"/>
  <c r="BI6" i="22"/>
  <c r="BJ6" i="22"/>
  <c r="BK6" i="22"/>
  <c r="BL6" i="22"/>
  <c r="BM6" i="22"/>
  <c r="BN6" i="22"/>
  <c r="BO6" i="22"/>
  <c r="BP6" i="22"/>
  <c r="BQ6" i="22"/>
  <c r="BR6" i="22"/>
  <c r="BS6" i="22"/>
  <c r="BT6" i="22"/>
  <c r="BU6" i="22"/>
  <c r="BV6" i="22"/>
  <c r="BW6" i="22"/>
  <c r="BX6" i="22"/>
  <c r="BY6" i="22"/>
  <c r="BZ6" i="22"/>
  <c r="CA6" i="22"/>
  <c r="CB6" i="22"/>
  <c r="CC6" i="22"/>
  <c r="CD6" i="22"/>
  <c r="CE6" i="22"/>
  <c r="CF6" i="22"/>
  <c r="CG6" i="22"/>
  <c r="CH6" i="22"/>
  <c r="CI6" i="22"/>
  <c r="CJ6" i="22"/>
  <c r="CK6" i="22"/>
  <c r="CL6" i="22"/>
  <c r="CM6" i="22"/>
  <c r="CN6" i="22"/>
  <c r="CO6" i="22"/>
  <c r="CP6" i="22"/>
  <c r="CQ6" i="22"/>
  <c r="CR6" i="22"/>
  <c r="CS6" i="22"/>
  <c r="CT6" i="22"/>
  <c r="CU6" i="22"/>
  <c r="CV6" i="22"/>
  <c r="CW6" i="22"/>
  <c r="CX6" i="22"/>
  <c r="CY6" i="22"/>
  <c r="CZ6" i="22"/>
  <c r="DA6" i="22"/>
  <c r="DB6" i="22"/>
  <c r="DC6" i="22"/>
  <c r="DD6" i="22"/>
  <c r="DE6" i="22"/>
  <c r="DF6" i="22"/>
  <c r="DG6" i="22"/>
  <c r="DH6" i="22"/>
  <c r="DI6" i="22"/>
  <c r="DJ6" i="22"/>
  <c r="DK6" i="22"/>
  <c r="DL6" i="22"/>
  <c r="DM6" i="22"/>
  <c r="DN6" i="22"/>
  <c r="DO6" i="22"/>
  <c r="DP6" i="22"/>
  <c r="DQ6" i="22"/>
  <c r="DR6" i="22"/>
  <c r="DS6" i="22"/>
  <c r="DT6" i="22"/>
  <c r="DU6" i="22"/>
  <c r="DV6" i="22"/>
  <c r="DW6" i="22"/>
  <c r="DX6" i="22"/>
  <c r="DY6" i="22"/>
  <c r="DZ6" i="22"/>
  <c r="EA6" i="22"/>
  <c r="EB6" i="22"/>
  <c r="EC6" i="22"/>
  <c r="ED6" i="22"/>
  <c r="EE6" i="22"/>
  <c r="EF6" i="22"/>
  <c r="EG6" i="22"/>
  <c r="EH6" i="22"/>
  <c r="EI6" i="22"/>
  <c r="EJ6" i="22"/>
  <c r="EK6" i="22"/>
  <c r="EL6" i="22"/>
  <c r="EM6" i="22"/>
  <c r="EN6" i="22"/>
  <c r="EO6" i="22"/>
  <c r="EP6" i="22"/>
  <c r="EQ6" i="22"/>
  <c r="ER6" i="22"/>
  <c r="ES6" i="22"/>
  <c r="ET6" i="22"/>
  <c r="EU6" i="22"/>
  <c r="EV6" i="22"/>
  <c r="EW6" i="22"/>
  <c r="EX6" i="22"/>
  <c r="EY6" i="22"/>
  <c r="EZ6" i="22"/>
  <c r="FA6" i="22"/>
  <c r="FB6" i="22"/>
  <c r="FC6" i="22"/>
  <c r="FD6" i="22"/>
  <c r="FE6" i="22"/>
  <c r="FF6" i="22"/>
  <c r="FG6" i="22"/>
  <c r="FH6" i="22"/>
  <c r="FI6" i="22"/>
  <c r="FJ6" i="22"/>
  <c r="FK6" i="22"/>
  <c r="FL6" i="22"/>
  <c r="FM6" i="22"/>
  <c r="FN6" i="22"/>
  <c r="FO6" i="22"/>
  <c r="FP6" i="22"/>
  <c r="FQ6" i="22"/>
  <c r="FR6" i="22"/>
  <c r="FS6" i="22"/>
  <c r="FT6" i="22"/>
  <c r="FU6" i="22"/>
  <c r="FV6" i="22"/>
  <c r="FW6" i="22"/>
  <c r="FX6" i="22"/>
  <c r="FY6" i="22"/>
  <c r="FZ6" i="22"/>
  <c r="GA6" i="22"/>
  <c r="GB6" i="22"/>
  <c r="GC6" i="22"/>
  <c r="GD6" i="22"/>
  <c r="GE6" i="22"/>
  <c r="GF6" i="22"/>
  <c r="GG6" i="22"/>
  <c r="GH6" i="22"/>
  <c r="GI6" i="22"/>
  <c r="GJ6" i="22"/>
  <c r="GK6" i="22"/>
  <c r="GL6" i="22"/>
  <c r="GM6" i="22"/>
  <c r="GN6" i="22"/>
  <c r="GO6" i="22"/>
  <c r="GP6" i="22"/>
  <c r="GQ6" i="22"/>
  <c r="GR6" i="22"/>
  <c r="GS6" i="22"/>
  <c r="GT6" i="22"/>
  <c r="GU6" i="22"/>
  <c r="GV6" i="22"/>
  <c r="GW6" i="22"/>
  <c r="GX6" i="22"/>
  <c r="GY6" i="22"/>
  <c r="GZ6" i="22"/>
  <c r="HA6" i="22"/>
  <c r="HB6" i="22"/>
  <c r="HC6" i="22"/>
  <c r="HD6" i="22"/>
  <c r="HE6" i="22"/>
  <c r="HF6" i="22"/>
  <c r="HG6" i="22"/>
  <c r="HH6" i="22"/>
  <c r="HI6" i="22"/>
  <c r="HJ6" i="22"/>
  <c r="HK6" i="22"/>
  <c r="HL6" i="22"/>
  <c r="HM6" i="22"/>
  <c r="HN6" i="22"/>
  <c r="HO6" i="22"/>
  <c r="HP6" i="22"/>
  <c r="HQ6" i="22"/>
  <c r="HR6" i="22"/>
  <c r="HS6" i="22"/>
  <c r="HT6" i="22"/>
  <c r="HU6" i="22"/>
  <c r="HV6" i="22"/>
  <c r="HW6" i="22"/>
  <c r="HX6" i="22"/>
  <c r="HY6" i="22"/>
  <c r="HZ6" i="22"/>
  <c r="IA6" i="22"/>
  <c r="IB6" i="22"/>
  <c r="IC6" i="22"/>
  <c r="ID6" i="22"/>
  <c r="IE6" i="22"/>
  <c r="IF6" i="22"/>
  <c r="IG6" i="22"/>
  <c r="IH6" i="22"/>
  <c r="II6" i="22"/>
  <c r="IJ6" i="22"/>
  <c r="IK6" i="22"/>
  <c r="IL6" i="22"/>
  <c r="IM6" i="22"/>
  <c r="IN6" i="22"/>
  <c r="IO6" i="22"/>
  <c r="IP6" i="22"/>
  <c r="IQ6" i="22"/>
  <c r="IR6" i="22"/>
  <c r="IS6" i="22"/>
  <c r="IT6" i="22"/>
  <c r="IU6" i="22"/>
  <c r="IV6" i="22"/>
  <c r="A5" i="22"/>
  <c r="B5" i="22"/>
  <c r="C5" i="22"/>
  <c r="D5" i="22"/>
  <c r="E5" i="22"/>
  <c r="F5" i="22"/>
  <c r="G5" i="22"/>
  <c r="H5" i="22"/>
  <c r="I5" i="22"/>
  <c r="J5" i="22"/>
  <c r="K5" i="22"/>
  <c r="L5" i="22"/>
  <c r="M5" i="22"/>
  <c r="N5" i="22"/>
  <c r="O5" i="22"/>
  <c r="P5" i="22"/>
  <c r="Q5" i="22"/>
  <c r="R5" i="22"/>
  <c r="S5" i="22"/>
  <c r="T5" i="22"/>
  <c r="U5" i="22"/>
  <c r="V5" i="22"/>
  <c r="W5" i="22"/>
  <c r="X5" i="22"/>
  <c r="Y5" i="22"/>
  <c r="Z5" i="22"/>
  <c r="AA5" i="22"/>
  <c r="AB5" i="22"/>
  <c r="AC5" i="22"/>
  <c r="AD5" i="22"/>
  <c r="AE5" i="22"/>
  <c r="AF5" i="22"/>
  <c r="AG5" i="22"/>
  <c r="AH5" i="22"/>
  <c r="AI5" i="22"/>
  <c r="AJ5" i="22"/>
  <c r="AK5" i="22"/>
  <c r="AL5" i="22"/>
  <c r="AM5" i="22"/>
  <c r="AN5" i="22"/>
  <c r="AO5" i="22"/>
  <c r="AP5" i="22"/>
  <c r="AQ5" i="22"/>
  <c r="AR5" i="22"/>
  <c r="AS5" i="22"/>
  <c r="AT5" i="22"/>
  <c r="AU5" i="22"/>
  <c r="AV5" i="22"/>
  <c r="AW5" i="22"/>
  <c r="AX5" i="22"/>
  <c r="AY5" i="22"/>
  <c r="AZ5" i="22"/>
  <c r="BA5" i="22"/>
  <c r="BB5" i="22"/>
  <c r="BC5" i="22"/>
  <c r="BD5" i="22"/>
  <c r="BE5" i="22"/>
  <c r="BF5" i="22"/>
  <c r="BG5" i="22"/>
  <c r="BH5" i="22"/>
  <c r="BI5" i="22"/>
  <c r="BJ5" i="22"/>
  <c r="BK5" i="22"/>
  <c r="BL5" i="22"/>
  <c r="BM5" i="22"/>
  <c r="BN5" i="22"/>
  <c r="BO5" i="22"/>
  <c r="BP5" i="22"/>
  <c r="BQ5" i="22"/>
  <c r="BR5" i="22"/>
  <c r="BS5" i="22"/>
  <c r="BT5" i="22"/>
  <c r="BU5" i="22"/>
  <c r="BV5" i="22"/>
  <c r="BW5" i="22"/>
  <c r="BX5" i="22"/>
  <c r="BY5" i="22"/>
  <c r="BZ5" i="22"/>
  <c r="CA5" i="22"/>
  <c r="CB5" i="22"/>
  <c r="CC5" i="22"/>
  <c r="CD5" i="22"/>
  <c r="CE5" i="22"/>
  <c r="CF5" i="22"/>
  <c r="CG5" i="22"/>
  <c r="CH5" i="22"/>
  <c r="CI5" i="22"/>
  <c r="CJ5" i="22"/>
  <c r="CK5" i="22"/>
  <c r="CL5" i="22"/>
  <c r="CM5" i="22"/>
  <c r="CN5" i="22"/>
  <c r="CO5" i="22"/>
  <c r="CP5" i="22"/>
  <c r="CQ5" i="22"/>
  <c r="CR5" i="22"/>
  <c r="CS5" i="22"/>
  <c r="CT5" i="22"/>
  <c r="CU5" i="22"/>
  <c r="CV5" i="22"/>
  <c r="CW5" i="22"/>
  <c r="CX5" i="22"/>
  <c r="CY5" i="22"/>
  <c r="CZ5" i="22"/>
  <c r="DA5" i="22"/>
  <c r="DB5" i="22"/>
  <c r="DC5" i="22"/>
  <c r="DD5" i="22"/>
  <c r="DE5" i="22"/>
  <c r="DF5" i="22"/>
  <c r="DG5" i="22"/>
  <c r="DH5" i="22"/>
  <c r="DI5" i="22"/>
  <c r="DJ5" i="22"/>
  <c r="DK5" i="22"/>
  <c r="DL5" i="22"/>
  <c r="DM5" i="22"/>
  <c r="DN5" i="22"/>
  <c r="DO5" i="22"/>
  <c r="DP5" i="22"/>
  <c r="DQ5" i="22"/>
  <c r="DR5" i="22"/>
  <c r="DS5" i="22"/>
  <c r="DT5" i="22"/>
  <c r="DU5" i="22"/>
  <c r="DV5" i="22"/>
  <c r="DW5" i="22"/>
  <c r="DX5" i="22"/>
  <c r="DY5" i="22"/>
  <c r="DZ5" i="22"/>
  <c r="EA5" i="22"/>
  <c r="EB5" i="22"/>
  <c r="EC5" i="22"/>
  <c r="ED5" i="22"/>
  <c r="EE5" i="22"/>
  <c r="EF5" i="22"/>
  <c r="EG5" i="22"/>
  <c r="EH5" i="22"/>
  <c r="EI5" i="22"/>
  <c r="EJ5" i="22"/>
  <c r="EK5" i="22"/>
  <c r="EL5" i="22"/>
  <c r="EM5" i="22"/>
  <c r="EN5" i="22"/>
  <c r="EO5" i="22"/>
  <c r="EP5" i="22"/>
  <c r="EQ5" i="22"/>
  <c r="ER5" i="22"/>
  <c r="ES5" i="22"/>
  <c r="ET5" i="22"/>
  <c r="EU5" i="22"/>
  <c r="EV5" i="22"/>
  <c r="EW5" i="22"/>
  <c r="EX5" i="22"/>
  <c r="EY5" i="22"/>
  <c r="EZ5" i="22"/>
  <c r="FA5" i="22"/>
  <c r="FB5" i="22"/>
  <c r="FC5" i="22"/>
  <c r="FD5" i="22"/>
  <c r="FE5" i="22"/>
  <c r="FF5" i="22"/>
  <c r="FG5" i="22"/>
  <c r="FH5" i="22"/>
  <c r="FI5" i="22"/>
  <c r="FJ5" i="22"/>
  <c r="FK5" i="22"/>
  <c r="FL5" i="22"/>
  <c r="FM5" i="22"/>
  <c r="FN5" i="22"/>
  <c r="FO5" i="22"/>
  <c r="FP5" i="22"/>
  <c r="FQ5" i="22"/>
  <c r="FR5" i="22"/>
  <c r="FS5" i="22"/>
  <c r="FT5" i="22"/>
  <c r="FU5" i="22"/>
  <c r="FV5" i="22"/>
  <c r="FW5" i="22"/>
  <c r="FX5" i="22"/>
  <c r="FY5" i="22"/>
  <c r="FZ5" i="22"/>
  <c r="GA5" i="22"/>
  <c r="GB5" i="22"/>
  <c r="GC5" i="22"/>
  <c r="GD5" i="22"/>
  <c r="GE5" i="22"/>
  <c r="GF5" i="22"/>
  <c r="GG5" i="22"/>
  <c r="GH5" i="22"/>
  <c r="GI5" i="22"/>
  <c r="GJ5" i="22"/>
  <c r="GK5" i="22"/>
  <c r="GL5" i="22"/>
  <c r="GM5" i="22"/>
  <c r="GN5" i="22"/>
  <c r="GO5" i="22"/>
  <c r="GP5" i="22"/>
  <c r="GQ5" i="22"/>
  <c r="GR5" i="22"/>
  <c r="GS5" i="22"/>
  <c r="GT5" i="22"/>
  <c r="GU5" i="22"/>
  <c r="GV5" i="22"/>
  <c r="GW5" i="22"/>
  <c r="GX5" i="22"/>
  <c r="GY5" i="22"/>
  <c r="GZ5" i="22"/>
  <c r="HA5" i="22"/>
  <c r="HB5" i="22"/>
  <c r="HC5" i="22"/>
  <c r="HD5" i="22"/>
  <c r="HE5" i="22"/>
  <c r="HF5" i="22"/>
  <c r="HG5" i="22"/>
  <c r="HH5" i="22"/>
  <c r="HI5" i="22"/>
  <c r="HJ5" i="22"/>
  <c r="HK5" i="22"/>
  <c r="HL5" i="22"/>
  <c r="HM5" i="22"/>
  <c r="HN5" i="22"/>
  <c r="HO5" i="22"/>
  <c r="HP5" i="22"/>
  <c r="HQ5" i="22"/>
  <c r="HR5" i="22"/>
  <c r="HS5" i="22"/>
  <c r="HT5" i="22"/>
  <c r="HU5" i="22"/>
  <c r="HV5" i="22"/>
  <c r="HW5" i="22"/>
  <c r="HX5" i="22"/>
  <c r="HY5" i="22"/>
  <c r="HZ5" i="22"/>
  <c r="IA5" i="22"/>
  <c r="IB5" i="22"/>
  <c r="IC5" i="22"/>
  <c r="ID5" i="22"/>
  <c r="IE5" i="22"/>
  <c r="IF5" i="22"/>
  <c r="IG5" i="22"/>
  <c r="IH5" i="22"/>
  <c r="II5" i="22"/>
  <c r="IJ5" i="22"/>
  <c r="IK5" i="22"/>
  <c r="IL5" i="22"/>
  <c r="IM5" i="22"/>
  <c r="IN5" i="22"/>
  <c r="IO5" i="22"/>
  <c r="IP5" i="22"/>
  <c r="IQ5" i="22"/>
  <c r="IR5" i="22"/>
  <c r="IS5" i="22"/>
  <c r="IT5" i="22"/>
  <c r="IU5" i="22"/>
  <c r="IV5" i="22"/>
  <c r="A4" i="22"/>
  <c r="B4" i="22"/>
  <c r="C4" i="22"/>
  <c r="D4" i="22"/>
  <c r="E4" i="22"/>
  <c r="F4" i="22"/>
  <c r="G4" i="22"/>
  <c r="H4" i="22"/>
  <c r="I4" i="22"/>
  <c r="J4" i="22"/>
  <c r="K4" i="22"/>
  <c r="L4" i="22"/>
  <c r="M4" i="22"/>
  <c r="N4" i="22"/>
  <c r="O4" i="22"/>
  <c r="P4" i="22"/>
  <c r="Q4" i="22"/>
  <c r="R4" i="22"/>
  <c r="S4" i="22"/>
  <c r="T4" i="22"/>
  <c r="U4" i="22"/>
  <c r="V4" i="22"/>
  <c r="W4" i="22"/>
  <c r="X4" i="22"/>
  <c r="Y4" i="22"/>
  <c r="Z4" i="22"/>
  <c r="AA4" i="22"/>
  <c r="AB4" i="22"/>
  <c r="AC4" i="22"/>
  <c r="AD4" i="22"/>
  <c r="AE4" i="22"/>
  <c r="AF4" i="22"/>
  <c r="AG4" i="22"/>
  <c r="AH4" i="22"/>
  <c r="AI4" i="22"/>
  <c r="AJ4" i="22"/>
  <c r="AK4" i="22"/>
  <c r="AL4" i="22"/>
  <c r="AM4" i="22"/>
  <c r="AN4" i="22"/>
  <c r="AO4" i="22"/>
  <c r="AP4" i="22"/>
  <c r="AQ4" i="22"/>
  <c r="AR4" i="22"/>
  <c r="AS4" i="22"/>
  <c r="AT4" i="22"/>
  <c r="AU4" i="22"/>
  <c r="AV4" i="22"/>
  <c r="AW4" i="22"/>
  <c r="AX4" i="22"/>
  <c r="AY4" i="22"/>
  <c r="AZ4" i="22"/>
  <c r="BA4" i="22"/>
  <c r="BB4" i="22"/>
  <c r="BC4" i="22"/>
  <c r="BD4" i="22"/>
  <c r="BE4" i="22"/>
  <c r="BF4" i="22"/>
  <c r="BG4" i="22"/>
  <c r="BH4" i="22"/>
  <c r="BI4" i="22"/>
  <c r="BJ4" i="22"/>
  <c r="BK4" i="22"/>
  <c r="BL4" i="22"/>
  <c r="BM4" i="22"/>
  <c r="BN4" i="22"/>
  <c r="BO4" i="22"/>
  <c r="BP4" i="22"/>
  <c r="BQ4" i="22"/>
  <c r="BR4" i="22"/>
  <c r="BS4" i="22"/>
  <c r="BT4" i="22"/>
  <c r="BU4" i="22"/>
  <c r="BV4" i="22"/>
  <c r="BW4" i="22"/>
  <c r="BX4" i="22"/>
  <c r="BY4" i="22"/>
  <c r="BZ4" i="22"/>
  <c r="CA4" i="22"/>
  <c r="CB4" i="22"/>
  <c r="CC4" i="22"/>
  <c r="CD4" i="22"/>
  <c r="CE4" i="22"/>
  <c r="CF4" i="22"/>
  <c r="CG4" i="22"/>
  <c r="CH4" i="22"/>
  <c r="CI4" i="22"/>
  <c r="CJ4" i="22"/>
  <c r="CK4" i="22"/>
  <c r="CL4" i="22"/>
  <c r="CM4" i="22"/>
  <c r="CN4" i="22"/>
  <c r="CO4" i="22"/>
  <c r="CP4" i="22"/>
  <c r="CQ4" i="22"/>
  <c r="CR4" i="22"/>
  <c r="CS4" i="22"/>
  <c r="CT4" i="22"/>
  <c r="CU4" i="22"/>
  <c r="CV4" i="22"/>
  <c r="CW4" i="22"/>
  <c r="CX4" i="22"/>
  <c r="CY4" i="22"/>
  <c r="CZ4" i="22"/>
  <c r="DA4" i="22"/>
  <c r="DB4" i="22"/>
  <c r="DC4" i="22"/>
  <c r="DD4" i="22"/>
  <c r="DE4" i="22"/>
  <c r="DF4" i="22"/>
  <c r="DG4" i="22"/>
  <c r="DH4" i="22"/>
  <c r="DI4" i="22"/>
  <c r="DJ4" i="22"/>
  <c r="DK4" i="22"/>
  <c r="DL4" i="22"/>
  <c r="DM4" i="22"/>
  <c r="DN4" i="22"/>
  <c r="DO4" i="22"/>
  <c r="DP4" i="22"/>
  <c r="DQ4" i="22"/>
  <c r="DR4" i="22"/>
  <c r="DS4" i="22"/>
  <c r="DT4" i="22"/>
  <c r="DU4" i="22"/>
  <c r="DV4" i="22"/>
  <c r="DW4" i="22"/>
  <c r="DX4" i="22"/>
  <c r="DY4" i="22"/>
  <c r="DZ4" i="22"/>
  <c r="EA4" i="22"/>
  <c r="EB4" i="22"/>
  <c r="EC4" i="22"/>
  <c r="ED4" i="22"/>
  <c r="EE4" i="22"/>
  <c r="EF4" i="22"/>
  <c r="EG4" i="22"/>
  <c r="EH4" i="22"/>
  <c r="EI4" i="22"/>
  <c r="EJ4" i="22"/>
  <c r="EK4" i="22"/>
  <c r="EL4" i="22"/>
  <c r="EM4" i="22"/>
  <c r="EN4" i="22"/>
  <c r="EO4" i="22"/>
  <c r="EP4" i="22"/>
  <c r="EQ4" i="22"/>
  <c r="ER4" i="22"/>
  <c r="ES4" i="22"/>
  <c r="ET4" i="22"/>
  <c r="EU4" i="22"/>
  <c r="EV4" i="22"/>
  <c r="EW4" i="22"/>
  <c r="EX4" i="22"/>
  <c r="EY4" i="22"/>
  <c r="EZ4" i="22"/>
  <c r="FA4" i="22"/>
  <c r="FB4" i="22"/>
  <c r="FC4" i="22"/>
  <c r="FD4" i="22"/>
  <c r="FE4" i="22"/>
  <c r="FF4" i="22"/>
  <c r="FG4" i="22"/>
  <c r="FH4" i="22"/>
  <c r="FI4" i="22"/>
  <c r="FJ4" i="22"/>
  <c r="FK4" i="22"/>
  <c r="FL4" i="22"/>
  <c r="FM4" i="22"/>
  <c r="FN4" i="22"/>
  <c r="FO4" i="22"/>
  <c r="FP4" i="22"/>
  <c r="FQ4" i="22"/>
  <c r="FR4" i="22"/>
  <c r="FS4" i="22"/>
  <c r="FT4" i="22"/>
  <c r="FU4" i="22"/>
  <c r="FV4" i="22"/>
  <c r="FW4" i="22"/>
  <c r="FX4" i="22"/>
  <c r="FY4" i="22"/>
  <c r="FZ4" i="22"/>
  <c r="GA4" i="22"/>
  <c r="GB4" i="22"/>
  <c r="GC4" i="22"/>
  <c r="GD4" i="22"/>
  <c r="GE4" i="22"/>
  <c r="GF4" i="22"/>
  <c r="GG4" i="22"/>
  <c r="GH4" i="22"/>
  <c r="GI4" i="22"/>
  <c r="GJ4" i="22"/>
  <c r="GK4" i="22"/>
  <c r="GL4" i="22"/>
  <c r="GM4" i="22"/>
  <c r="GN4" i="22"/>
  <c r="GO4" i="22"/>
  <c r="GP4" i="22"/>
  <c r="GQ4" i="22"/>
  <c r="GR4" i="22"/>
  <c r="GS4" i="22"/>
  <c r="GT4" i="22"/>
  <c r="GU4" i="22"/>
  <c r="GV4" i="22"/>
  <c r="GW4" i="22"/>
  <c r="GX4" i="22"/>
  <c r="GY4" i="22"/>
  <c r="GZ4" i="22"/>
  <c r="HA4" i="22"/>
  <c r="HB4" i="22"/>
  <c r="HC4" i="22"/>
  <c r="HD4" i="22"/>
  <c r="HE4" i="22"/>
  <c r="HF4" i="22"/>
  <c r="HG4" i="22"/>
  <c r="HH4" i="22"/>
  <c r="HI4" i="22"/>
  <c r="HJ4" i="22"/>
  <c r="HK4" i="22"/>
  <c r="HL4" i="22"/>
  <c r="HM4" i="22"/>
  <c r="HN4" i="22"/>
  <c r="HO4" i="22"/>
  <c r="HP4" i="22"/>
  <c r="HQ4" i="22"/>
  <c r="HR4" i="22"/>
  <c r="HS4" i="22"/>
  <c r="HT4" i="22"/>
  <c r="HU4" i="22"/>
  <c r="HV4" i="22"/>
  <c r="HW4" i="22"/>
  <c r="HX4" i="22"/>
  <c r="HY4" i="22"/>
  <c r="HZ4" i="22"/>
  <c r="IA4" i="22"/>
  <c r="IB4" i="22"/>
  <c r="IC4" i="22"/>
  <c r="ID4" i="22"/>
  <c r="IE4" i="22"/>
  <c r="IF4" i="22"/>
  <c r="IG4" i="22"/>
  <c r="IH4" i="22"/>
  <c r="II4" i="22"/>
  <c r="IJ4" i="22"/>
  <c r="IK4" i="22"/>
  <c r="IL4" i="22"/>
  <c r="IM4" i="22"/>
  <c r="IN4" i="22"/>
  <c r="IO4" i="22"/>
  <c r="IP4" i="22"/>
  <c r="IQ4" i="22"/>
  <c r="IR4" i="22"/>
  <c r="IS4" i="22"/>
  <c r="IT4" i="22"/>
  <c r="IU4" i="22"/>
  <c r="IV4" i="22"/>
  <c r="A3" i="22"/>
  <c r="B3" i="22"/>
  <c r="C3" i="22"/>
  <c r="D3" i="22"/>
  <c r="E3" i="22"/>
  <c r="F3" i="22"/>
  <c r="G3" i="22"/>
  <c r="H3" i="22"/>
  <c r="I3" i="22"/>
  <c r="J3" i="22"/>
  <c r="K3" i="22"/>
  <c r="L3" i="22"/>
  <c r="M3" i="22"/>
  <c r="N3" i="22"/>
  <c r="O3" i="22"/>
  <c r="P3" i="22"/>
  <c r="Q3" i="22"/>
  <c r="R3" i="22"/>
  <c r="S3" i="22"/>
  <c r="T3" i="22"/>
  <c r="U3" i="22"/>
  <c r="V3" i="22"/>
  <c r="W3" i="22"/>
  <c r="X3" i="22"/>
  <c r="Y3" i="22"/>
  <c r="Z3" i="22"/>
  <c r="AA3" i="22"/>
  <c r="AB3" i="22"/>
  <c r="AC3" i="22"/>
  <c r="AD3" i="22"/>
  <c r="AE3" i="22"/>
  <c r="AF3" i="22"/>
  <c r="AG3" i="22"/>
  <c r="AH3" i="22"/>
  <c r="AI3" i="22"/>
  <c r="AJ3" i="22"/>
  <c r="AK3" i="22"/>
  <c r="AL3" i="22"/>
  <c r="AM3" i="22"/>
  <c r="AN3" i="22"/>
  <c r="AO3" i="22"/>
  <c r="AP3" i="22"/>
  <c r="AQ3" i="22"/>
  <c r="AR3" i="22"/>
  <c r="AS3" i="22"/>
  <c r="AT3" i="22"/>
  <c r="AU3" i="22"/>
  <c r="AV3" i="22"/>
  <c r="AW3" i="22"/>
  <c r="AX3" i="22"/>
  <c r="AY3" i="22"/>
  <c r="AZ3" i="22"/>
  <c r="BA3" i="22"/>
  <c r="BB3" i="22"/>
  <c r="BC3" i="22"/>
  <c r="BD3" i="22"/>
  <c r="BE3" i="22"/>
  <c r="BF3" i="22"/>
  <c r="BG3" i="22"/>
  <c r="BH3" i="22"/>
  <c r="BI3" i="22"/>
  <c r="BJ3" i="22"/>
  <c r="BK3" i="22"/>
  <c r="BL3" i="22"/>
  <c r="BM3" i="22"/>
  <c r="BN3" i="22"/>
  <c r="BO3" i="22"/>
  <c r="BP3" i="22"/>
  <c r="BQ3" i="22"/>
  <c r="BR3" i="22"/>
  <c r="BS3" i="22"/>
  <c r="BT3" i="22"/>
  <c r="BU3" i="22"/>
  <c r="BV3" i="22"/>
  <c r="BW3" i="22"/>
  <c r="BX3" i="22"/>
  <c r="BY3" i="22"/>
  <c r="BZ3" i="22"/>
  <c r="CA3" i="22"/>
  <c r="CB3" i="22"/>
  <c r="CC3" i="22"/>
  <c r="CD3" i="22"/>
  <c r="CE3" i="22"/>
  <c r="CF3" i="22"/>
  <c r="CG3" i="22"/>
  <c r="CH3" i="22"/>
  <c r="CI3" i="22"/>
  <c r="CJ3" i="22"/>
  <c r="CK3" i="22"/>
  <c r="CL3" i="22"/>
  <c r="CM3" i="22"/>
  <c r="CN3" i="22"/>
  <c r="CO3" i="22"/>
  <c r="CP3" i="22"/>
  <c r="CQ3" i="22"/>
  <c r="CR3" i="22"/>
  <c r="CS3" i="22"/>
  <c r="CT3" i="22"/>
  <c r="CU3" i="22"/>
  <c r="CV3" i="22"/>
  <c r="CW3" i="22"/>
  <c r="CX3" i="22"/>
  <c r="CY3" i="22"/>
  <c r="CZ3" i="22"/>
  <c r="DA3" i="22"/>
  <c r="DB3" i="22"/>
  <c r="DC3" i="22"/>
  <c r="DD3" i="22"/>
  <c r="DE3" i="22"/>
  <c r="DF3" i="22"/>
  <c r="DG3" i="22"/>
  <c r="DH3" i="22"/>
  <c r="DI3" i="22"/>
  <c r="DJ3" i="22"/>
  <c r="DK3" i="22"/>
  <c r="DL3" i="22"/>
  <c r="DM3" i="22"/>
  <c r="DN3" i="22"/>
  <c r="DO3" i="22"/>
  <c r="DP3" i="22"/>
  <c r="DQ3" i="22"/>
  <c r="DR3" i="22"/>
  <c r="DS3" i="22"/>
  <c r="DT3" i="22"/>
  <c r="DU3" i="22"/>
  <c r="DV3" i="22"/>
  <c r="DW3" i="22"/>
  <c r="DX3" i="22"/>
  <c r="DY3" i="22"/>
  <c r="DZ3" i="22"/>
  <c r="EA3" i="22"/>
  <c r="EB3" i="22"/>
  <c r="EC3" i="22"/>
  <c r="ED3" i="22"/>
  <c r="EE3" i="22"/>
  <c r="EF3" i="22"/>
  <c r="EG3" i="22"/>
  <c r="EH3" i="22"/>
  <c r="EI3" i="22"/>
  <c r="EJ3" i="22"/>
  <c r="EK3" i="22"/>
  <c r="EL3" i="22"/>
  <c r="EM3" i="22"/>
  <c r="EN3" i="22"/>
  <c r="EO3" i="22"/>
  <c r="EP3" i="22"/>
  <c r="EQ3" i="22"/>
  <c r="ER3" i="22"/>
  <c r="ES3" i="22"/>
  <c r="ET3" i="22"/>
  <c r="EU3" i="22"/>
  <c r="EV3" i="22"/>
  <c r="EW3" i="22"/>
  <c r="EX3" i="22"/>
  <c r="EY3" i="22"/>
  <c r="EZ3" i="22"/>
  <c r="FA3" i="22"/>
  <c r="FB3" i="22"/>
  <c r="FC3" i="22"/>
  <c r="FD3" i="22"/>
  <c r="FE3" i="22"/>
  <c r="FF3" i="22"/>
  <c r="FG3" i="22"/>
  <c r="FH3" i="22"/>
  <c r="FI3" i="22"/>
  <c r="FJ3" i="22"/>
  <c r="FK3" i="22"/>
  <c r="FL3" i="22"/>
  <c r="FM3" i="22"/>
  <c r="FN3" i="22"/>
  <c r="FO3" i="22"/>
  <c r="FP3" i="22"/>
  <c r="FQ3" i="22"/>
  <c r="FR3" i="22"/>
  <c r="FS3" i="22"/>
  <c r="FT3" i="22"/>
  <c r="FU3" i="22"/>
  <c r="FV3" i="22"/>
  <c r="FW3" i="22"/>
  <c r="FX3" i="22"/>
  <c r="FY3" i="22"/>
  <c r="FZ3" i="22"/>
  <c r="GA3" i="22"/>
  <c r="GB3" i="22"/>
  <c r="GC3" i="22"/>
  <c r="GD3" i="22"/>
  <c r="GE3" i="22"/>
  <c r="GF3" i="22"/>
  <c r="GG3" i="22"/>
  <c r="GH3" i="22"/>
  <c r="GI3" i="22"/>
  <c r="GJ3" i="22"/>
  <c r="GK3" i="22"/>
  <c r="GL3" i="22"/>
  <c r="GM3" i="22"/>
  <c r="GN3" i="22"/>
  <c r="GO3" i="22"/>
  <c r="GP3" i="22"/>
  <c r="GQ3" i="22"/>
  <c r="GR3" i="22"/>
  <c r="GS3" i="22"/>
  <c r="GT3" i="22"/>
  <c r="GU3" i="22"/>
  <c r="GV3" i="22"/>
  <c r="GW3" i="22"/>
  <c r="GX3" i="22"/>
  <c r="GY3" i="22"/>
  <c r="GZ3" i="22"/>
  <c r="HA3" i="22"/>
  <c r="HB3" i="22"/>
  <c r="HC3" i="22"/>
  <c r="HD3" i="22"/>
  <c r="HE3" i="22"/>
  <c r="HF3" i="22"/>
  <c r="HG3" i="22"/>
  <c r="HH3" i="22"/>
  <c r="HI3" i="22"/>
  <c r="HJ3" i="22"/>
  <c r="HK3" i="22"/>
  <c r="HL3" i="22"/>
  <c r="HM3" i="22"/>
  <c r="HN3" i="22"/>
  <c r="HO3" i="22"/>
  <c r="HP3" i="22"/>
  <c r="HQ3" i="22"/>
  <c r="HR3" i="22"/>
  <c r="HS3" i="22"/>
  <c r="HT3" i="22"/>
  <c r="HU3" i="22"/>
  <c r="HV3" i="22"/>
  <c r="HW3" i="22"/>
  <c r="HX3" i="22"/>
  <c r="HY3" i="22"/>
  <c r="HZ3" i="22"/>
  <c r="IA3" i="22"/>
  <c r="IB3" i="22"/>
  <c r="IC3" i="22"/>
  <c r="ID3" i="22"/>
  <c r="IE3" i="22"/>
  <c r="IF3" i="22"/>
  <c r="IG3" i="22"/>
  <c r="IH3" i="22"/>
  <c r="II3" i="22"/>
  <c r="IJ3" i="22"/>
  <c r="IK3" i="22"/>
  <c r="IL3" i="22"/>
  <c r="IM3" i="22"/>
  <c r="IN3" i="22"/>
  <c r="IO3" i="22"/>
  <c r="IP3" i="22"/>
  <c r="IQ3" i="22"/>
  <c r="IR3" i="22"/>
  <c r="IS3" i="22"/>
  <c r="IT3" i="22"/>
  <c r="IU3" i="22"/>
  <c r="IV3" i="22"/>
  <c r="A2" i="22"/>
  <c r="B2" i="22"/>
  <c r="C2" i="22"/>
  <c r="D2" i="22"/>
  <c r="E2" i="22"/>
  <c r="F2" i="22"/>
  <c r="G2" i="22"/>
  <c r="H2" i="22"/>
  <c r="I2" i="22"/>
  <c r="I1" i="1"/>
  <c r="J2" i="22"/>
  <c r="K2" i="22"/>
  <c r="L2" i="22"/>
  <c r="M2" i="22"/>
  <c r="N2" i="22"/>
  <c r="O2" i="22"/>
  <c r="P2" i="22"/>
  <c r="Q2" i="22"/>
  <c r="R2" i="22"/>
  <c r="S2" i="22"/>
  <c r="T2" i="22"/>
  <c r="U2" i="22"/>
  <c r="V2" i="22"/>
  <c r="W2" i="22"/>
  <c r="X2" i="22"/>
  <c r="Y2" i="22"/>
  <c r="Z2" i="22"/>
  <c r="AA2" i="22"/>
  <c r="AB2" i="22"/>
  <c r="AC2" i="22"/>
  <c r="AD2" i="22"/>
  <c r="AE2" i="22"/>
  <c r="AF2" i="22"/>
  <c r="AG2" i="22"/>
  <c r="AH2" i="22"/>
  <c r="AI2" i="22"/>
  <c r="AJ2" i="22"/>
  <c r="AK2" i="22"/>
  <c r="AL2" i="22"/>
  <c r="AM2" i="22"/>
  <c r="AN2" i="22"/>
  <c r="AO2" i="22"/>
  <c r="AP2" i="22"/>
  <c r="H4" i="1"/>
  <c r="AQ2" i="22"/>
  <c r="AR2" i="22"/>
  <c r="AS2" i="22"/>
  <c r="AT2" i="22"/>
  <c r="AU2" i="22"/>
  <c r="AV2" i="22"/>
  <c r="AW2" i="22"/>
  <c r="AX2" i="22"/>
  <c r="AY2" i="22"/>
  <c r="AZ2" i="22"/>
  <c r="BA2" i="22"/>
  <c r="BB2" i="22"/>
  <c r="BC2" i="22"/>
  <c r="BD2" i="22"/>
  <c r="BE2" i="22"/>
  <c r="BF2" i="22"/>
  <c r="BG2" i="22"/>
  <c r="BH2" i="22"/>
  <c r="BI2" i="22"/>
  <c r="BJ2" i="22"/>
  <c r="BK2" i="22"/>
  <c r="BL2" i="22"/>
  <c r="BM2" i="22"/>
  <c r="BN2" i="22"/>
  <c r="BO2" i="22"/>
  <c r="BP2" i="22"/>
  <c r="BQ2" i="22"/>
  <c r="BR2" i="22"/>
  <c r="BS2" i="22"/>
  <c r="BT2" i="22"/>
  <c r="BU2" i="22"/>
  <c r="BV2" i="22"/>
  <c r="BW2" i="22"/>
  <c r="BX2" i="22"/>
  <c r="BY2" i="22"/>
  <c r="BZ2" i="22"/>
  <c r="CA2" i="22"/>
  <c r="CB2" i="22"/>
  <c r="CC2" i="22"/>
  <c r="CD2" i="22"/>
  <c r="CE2" i="22"/>
  <c r="CF2" i="22"/>
  <c r="CG2" i="22"/>
  <c r="CH2" i="22"/>
  <c r="CI2" i="22"/>
  <c r="CJ2" i="22"/>
  <c r="CK2" i="22"/>
  <c r="CL2" i="22"/>
  <c r="CM2" i="22"/>
  <c r="CN2" i="22"/>
  <c r="CO2" i="22"/>
  <c r="CP2" i="22"/>
  <c r="CQ2" i="22"/>
  <c r="CR2" i="22"/>
  <c r="CS2" i="22"/>
  <c r="CT2" i="22"/>
  <c r="CU2" i="22"/>
  <c r="CV2" i="22"/>
  <c r="CW2" i="22"/>
  <c r="CX2" i="22"/>
  <c r="CY2" i="22"/>
  <c r="CZ2" i="22"/>
  <c r="DA2" i="22"/>
  <c r="DB2" i="22"/>
  <c r="DC2" i="22"/>
  <c r="DD2" i="22"/>
  <c r="DE2" i="22"/>
  <c r="DF2" i="22"/>
  <c r="DG2" i="22"/>
  <c r="DH2" i="22"/>
  <c r="DI2" i="22"/>
  <c r="DJ2" i="22"/>
  <c r="DK2" i="22"/>
  <c r="DL2" i="22"/>
  <c r="DM2" i="22"/>
  <c r="DN2" i="22"/>
  <c r="DO2" i="22"/>
  <c r="DP2" i="22"/>
  <c r="DQ2" i="22"/>
  <c r="DR2" i="22"/>
  <c r="DS2" i="22"/>
  <c r="DT2" i="22"/>
  <c r="DU2" i="22"/>
  <c r="DV2" i="22"/>
  <c r="DW2" i="22"/>
  <c r="DX2" i="22"/>
  <c r="DY2" i="22"/>
  <c r="DZ2" i="22"/>
  <c r="EA2" i="22"/>
  <c r="EB2" i="22"/>
  <c r="EC2" i="22"/>
  <c r="ED2" i="22"/>
  <c r="EE2" i="22"/>
  <c r="EF2" i="22"/>
  <c r="EG2" i="22"/>
  <c r="EH2" i="22"/>
  <c r="EI2" i="22"/>
  <c r="EJ2" i="22"/>
  <c r="EK2" i="22"/>
  <c r="EL2" i="22"/>
  <c r="EM2" i="22"/>
  <c r="EN2" i="22"/>
  <c r="EO2" i="22"/>
  <c r="EP2" i="22"/>
  <c r="EQ2" i="22"/>
  <c r="ER2" i="22"/>
  <c r="ES2" i="22"/>
  <c r="ET2" i="22"/>
  <c r="EU2" i="22"/>
  <c r="EV2" i="22"/>
  <c r="EW2" i="22"/>
  <c r="EX2" i="22"/>
  <c r="EY2" i="22"/>
  <c r="EZ2" i="22"/>
  <c r="FA2" i="22"/>
  <c r="FB2" i="22"/>
  <c r="FC2" i="22"/>
  <c r="FD2" i="22"/>
  <c r="FE2" i="22"/>
  <c r="FF2" i="22"/>
  <c r="FG2" i="22"/>
  <c r="FH2" i="22"/>
  <c r="FI2" i="22"/>
  <c r="FJ2" i="22"/>
  <c r="FK2" i="22"/>
  <c r="FL2" i="22"/>
  <c r="FM2" i="22"/>
  <c r="FN2" i="22"/>
  <c r="FO2" i="22"/>
  <c r="FP2" i="22"/>
  <c r="FQ2" i="22"/>
  <c r="FR2" i="22"/>
  <c r="FS2" i="22"/>
  <c r="FT2" i="22"/>
  <c r="FU2" i="22"/>
  <c r="FV2" i="22"/>
  <c r="FW2" i="22"/>
  <c r="FX2" i="22"/>
  <c r="FY2" i="22"/>
  <c r="FZ2" i="22"/>
  <c r="GA2" i="22"/>
  <c r="GB2" i="22"/>
  <c r="GC2" i="22"/>
  <c r="GD2" i="22"/>
  <c r="GE2" i="22"/>
  <c r="GF2" i="22"/>
  <c r="GG2" i="22"/>
  <c r="GH2" i="22"/>
  <c r="GI2" i="22"/>
  <c r="GJ2" i="22"/>
  <c r="GK2" i="22"/>
  <c r="GL2" i="22"/>
  <c r="GM2" i="22"/>
  <c r="GN2" i="22"/>
  <c r="GO2" i="22"/>
  <c r="GP2" i="22"/>
  <c r="GQ2" i="22"/>
  <c r="GR2" i="22"/>
  <c r="GS2" i="22"/>
  <c r="GT2" i="22"/>
  <c r="GU2" i="22"/>
  <c r="GV2" i="22"/>
  <c r="GW2" i="22"/>
  <c r="GX2" i="22"/>
  <c r="GY2" i="22"/>
  <c r="GZ2" i="22"/>
  <c r="HA2" i="22"/>
  <c r="HB2" i="22"/>
  <c r="HC2" i="22"/>
  <c r="HD2" i="22"/>
  <c r="HE2" i="22"/>
  <c r="HF2" i="22"/>
  <c r="HG2" i="22"/>
  <c r="HH2" i="22"/>
  <c r="HI2" i="22"/>
  <c r="HJ2" i="22"/>
  <c r="HK2" i="22"/>
  <c r="HL2" i="22"/>
  <c r="HM2" i="22"/>
  <c r="HN2" i="22"/>
  <c r="HO2" i="22"/>
  <c r="HP2" i="22"/>
  <c r="HQ2" i="22"/>
  <c r="HR2" i="22"/>
  <c r="HS2" i="22"/>
  <c r="HT2" i="22"/>
  <c r="HU2" i="22"/>
  <c r="HV2" i="22"/>
  <c r="HW2" i="22"/>
  <c r="HX2" i="22"/>
  <c r="HY2" i="22"/>
  <c r="HZ2" i="22"/>
  <c r="IA2" i="22"/>
  <c r="IB2" i="22"/>
  <c r="IC2" i="22"/>
  <c r="ID2" i="22"/>
  <c r="IE2" i="22"/>
  <c r="IF2" i="22"/>
  <c r="IG2" i="22"/>
  <c r="IH2" i="22"/>
  <c r="II2" i="22"/>
  <c r="IJ2" i="22"/>
  <c r="IK2" i="22"/>
  <c r="IL2" i="22"/>
  <c r="IM2" i="22"/>
  <c r="IN2" i="22"/>
  <c r="IO2" i="22"/>
  <c r="IP2" i="22"/>
  <c r="IQ2" i="22"/>
  <c r="IR2" i="22"/>
  <c r="IS2" i="22"/>
  <c r="IT2" i="22"/>
  <c r="IU2" i="22"/>
  <c r="IV2" i="22"/>
  <c r="A1" i="22"/>
  <c r="B1" i="22"/>
  <c r="C1" i="22"/>
  <c r="D1" i="22"/>
  <c r="E1" i="22"/>
  <c r="F1" i="22"/>
  <c r="G1" i="22"/>
  <c r="H1" i="22"/>
  <c r="I1" i="22"/>
  <c r="J1" i="22"/>
  <c r="K1" i="22"/>
  <c r="L1" i="22"/>
  <c r="M1" i="22"/>
  <c r="N1" i="22"/>
  <c r="O1" i="22"/>
  <c r="P1" i="22"/>
  <c r="Q1" i="22"/>
  <c r="R1" i="22"/>
  <c r="S1" i="22"/>
  <c r="T1" i="22"/>
  <c r="U1" i="22"/>
  <c r="V1" i="22"/>
  <c r="W1" i="22"/>
  <c r="X1" i="22"/>
  <c r="Y1" i="22"/>
  <c r="Z1" i="22"/>
  <c r="AA1" i="22"/>
  <c r="AB1" i="22"/>
  <c r="AC1" i="22"/>
  <c r="AD1" i="22"/>
  <c r="AE1" i="22"/>
  <c r="AF1" i="22"/>
  <c r="AG1" i="22"/>
  <c r="AH1" i="22"/>
  <c r="AI1" i="22"/>
  <c r="AJ1" i="22"/>
  <c r="AK1" i="22"/>
  <c r="AL1" i="22"/>
  <c r="AM1" i="22"/>
  <c r="AN1" i="22"/>
  <c r="AO1" i="22"/>
  <c r="AP1" i="22"/>
  <c r="AQ1" i="22"/>
  <c r="AR1" i="22"/>
  <c r="AS1" i="22"/>
  <c r="AT1" i="22"/>
  <c r="AU1" i="22"/>
  <c r="AV1" i="22"/>
  <c r="AW1" i="22"/>
  <c r="AX1" i="22"/>
  <c r="AY1" i="22"/>
  <c r="AZ1" i="22"/>
  <c r="BA1" i="22"/>
  <c r="BB1" i="22"/>
  <c r="BC1" i="22"/>
  <c r="BD1" i="22"/>
  <c r="BE1" i="22"/>
  <c r="BF1" i="22"/>
  <c r="BG1" i="22"/>
  <c r="BH1" i="22"/>
  <c r="BI1" i="22"/>
  <c r="BJ1" i="22"/>
  <c r="BK1" i="22"/>
  <c r="BL1" i="22"/>
  <c r="BM1" i="22"/>
  <c r="BN1" i="22"/>
  <c r="BO1" i="22"/>
  <c r="BP1" i="22"/>
  <c r="BQ1" i="22"/>
  <c r="BR1" i="22"/>
  <c r="BS1" i="22"/>
  <c r="BT1" i="22"/>
  <c r="BU1" i="22"/>
  <c r="BV1" i="22"/>
  <c r="BW1" i="22"/>
  <c r="BX1" i="22"/>
  <c r="BY1" i="22"/>
  <c r="BZ1" i="22"/>
  <c r="CA1" i="22"/>
  <c r="CB1" i="22"/>
  <c r="CC1" i="22"/>
  <c r="CD1" i="22"/>
  <c r="CE1" i="22"/>
  <c r="CF1" i="22"/>
  <c r="CG1" i="22"/>
  <c r="CH1" i="22"/>
  <c r="CI1" i="22"/>
  <c r="CJ1" i="22"/>
  <c r="CK1" i="22"/>
  <c r="CL1" i="22"/>
  <c r="CM1" i="22"/>
  <c r="CN1" i="22"/>
  <c r="CO1" i="22"/>
  <c r="CP1" i="22"/>
  <c r="CQ1" i="22"/>
  <c r="CR1" i="22"/>
  <c r="CS1" i="22"/>
  <c r="CT1" i="22"/>
  <c r="CU1" i="22"/>
  <c r="CV1" i="22"/>
  <c r="CW1" i="22"/>
  <c r="CX1" i="22"/>
  <c r="CY1" i="22"/>
  <c r="CZ1" i="22"/>
  <c r="DA1" i="22"/>
  <c r="DB1" i="22"/>
  <c r="DC1" i="22"/>
  <c r="DD1" i="22"/>
  <c r="DE1" i="22"/>
  <c r="DF1" i="22"/>
  <c r="DG1" i="22"/>
  <c r="DH1" i="22"/>
  <c r="DI1" i="22"/>
  <c r="DJ1" i="22"/>
  <c r="DK1" i="22"/>
  <c r="DL1" i="22"/>
  <c r="DM1" i="22"/>
  <c r="DN1" i="22"/>
  <c r="DO1" i="22"/>
  <c r="DP1" i="22"/>
  <c r="DQ1" i="22"/>
  <c r="DR1" i="22"/>
  <c r="DS1" i="22"/>
  <c r="DT1" i="22"/>
  <c r="DU1" i="22"/>
  <c r="DV1" i="22"/>
  <c r="DW1" i="22"/>
  <c r="DX1" i="22"/>
  <c r="DY1" i="22"/>
  <c r="DZ1" i="22"/>
  <c r="EA1" i="22"/>
  <c r="EB1" i="22"/>
  <c r="EC1" i="22"/>
  <c r="ED1" i="22"/>
  <c r="EE1" i="22"/>
  <c r="EF1" i="22"/>
  <c r="EG1" i="22"/>
  <c r="EH1" i="22"/>
  <c r="EI1" i="22"/>
  <c r="EJ1" i="22"/>
  <c r="EK1" i="22"/>
  <c r="EL1" i="22"/>
  <c r="EM1" i="22"/>
  <c r="EN1" i="22"/>
  <c r="EO1" i="22"/>
  <c r="EP1" i="22"/>
  <c r="EQ1" i="22"/>
  <c r="ER1" i="22"/>
  <c r="ES1" i="22"/>
  <c r="ET1" i="22"/>
  <c r="EU1" i="22"/>
  <c r="EV1" i="22"/>
  <c r="EW1" i="22"/>
  <c r="EX1" i="22"/>
  <c r="EY1" i="22"/>
  <c r="EZ1" i="22"/>
  <c r="FA1" i="22"/>
  <c r="FB1" i="22"/>
  <c r="FC1" i="22"/>
  <c r="FD1" i="22"/>
  <c r="FE1" i="22"/>
  <c r="FF1" i="22"/>
  <c r="FG1" i="22"/>
  <c r="FH1" i="22"/>
  <c r="FI1" i="22"/>
  <c r="FJ1" i="22"/>
  <c r="FK1" i="22"/>
  <c r="FL1" i="22"/>
  <c r="FM1" i="22"/>
  <c r="FN1" i="22"/>
  <c r="FO1" i="22"/>
  <c r="FP1" i="22"/>
  <c r="FQ1" i="22"/>
  <c r="FR1" i="22"/>
  <c r="FS1" i="22"/>
  <c r="FT1" i="22"/>
  <c r="FU1" i="22"/>
  <c r="FV1" i="22"/>
  <c r="FW1" i="22"/>
  <c r="FX1" i="22"/>
  <c r="FY1" i="22"/>
  <c r="FZ1" i="22"/>
  <c r="GA1" i="22"/>
  <c r="GB1" i="22"/>
  <c r="GC1" i="22"/>
  <c r="GD1" i="22"/>
  <c r="GE1" i="22"/>
  <c r="GF1" i="22"/>
  <c r="GG1" i="22"/>
  <c r="GH1" i="22"/>
  <c r="GI1" i="22"/>
  <c r="GJ1" i="22"/>
  <c r="GK1" i="22"/>
  <c r="GL1" i="22"/>
  <c r="GM1" i="22"/>
  <c r="GN1" i="22"/>
  <c r="GO1" i="22"/>
  <c r="GP1" i="22"/>
  <c r="GQ1" i="22"/>
  <c r="GR1" i="22"/>
  <c r="GS1" i="22"/>
  <c r="GT1" i="22"/>
  <c r="GU1" i="22"/>
  <c r="GV1" i="22"/>
  <c r="GW1" i="22"/>
  <c r="GX1" i="22"/>
  <c r="GY1" i="22"/>
  <c r="GZ1" i="22"/>
  <c r="HA1" i="22"/>
  <c r="HB1" i="22"/>
  <c r="HC1" i="22"/>
  <c r="HD1" i="22"/>
  <c r="HE1" i="22"/>
  <c r="HF1" i="22"/>
  <c r="HG1" i="22"/>
  <c r="HH1" i="22"/>
  <c r="HI1" i="22"/>
  <c r="HJ1" i="22"/>
  <c r="HK1" i="22"/>
  <c r="HL1" i="22"/>
  <c r="HM1" i="22"/>
  <c r="HN1" i="22"/>
  <c r="HO1" i="22"/>
  <c r="HP1" i="22"/>
  <c r="HQ1" i="22"/>
  <c r="HR1" i="22"/>
  <c r="HS1" i="22"/>
  <c r="HT1" i="22"/>
  <c r="HU1" i="22"/>
  <c r="HV1" i="22"/>
  <c r="HW1" i="22"/>
  <c r="HX1" i="22"/>
  <c r="HY1" i="22"/>
  <c r="HZ1" i="22"/>
  <c r="IA1" i="22"/>
  <c r="IB1" i="22"/>
  <c r="IC1" i="22"/>
  <c r="ID1" i="22"/>
  <c r="IE1" i="22"/>
  <c r="IF1" i="22"/>
  <c r="IG1" i="22"/>
  <c r="IH1" i="22"/>
  <c r="II1" i="22"/>
  <c r="IJ1" i="22"/>
  <c r="IK1" i="22"/>
  <c r="IL1" i="22"/>
  <c r="IM1" i="22"/>
  <c r="IN1" i="22"/>
  <c r="IO1" i="22"/>
  <c r="IP1" i="22"/>
  <c r="IQ1" i="22"/>
  <c r="IR1" i="22"/>
  <c r="IS1" i="22"/>
  <c r="IT1" i="22"/>
  <c r="IU1" i="22"/>
  <c r="H33" i="22"/>
  <c r="D32" i="22"/>
  <c r="B29" i="22"/>
  <c r="D27" i="22"/>
  <c r="B24" i="22"/>
  <c r="HU33" i="22"/>
  <c r="HV33" i="22"/>
  <c r="HW33" i="22"/>
  <c r="HX33" i="22"/>
  <c r="D22" i="22"/>
  <c r="HS7" i="22"/>
  <c r="AK18" i="22"/>
  <c r="DX20" i="22"/>
  <c r="AG18" i="22"/>
  <c r="AI18" i="22"/>
  <c r="G54" i="19"/>
  <c r="E54" i="19"/>
  <c r="G53" i="19"/>
  <c r="B7" i="22"/>
  <c r="DZ20" i="22"/>
  <c r="DV20" i="22"/>
  <c r="DT20" i="22"/>
  <c r="DR20" i="22"/>
  <c r="C7" i="22"/>
  <c r="HT33" i="22"/>
  <c r="IV1" i="22"/>
  <c r="EZ14" i="22"/>
  <c r="EY14" i="22"/>
  <c r="ES14" i="22"/>
  <c r="ER14" i="22"/>
  <c r="L10" i="22"/>
  <c r="HY7" i="22"/>
  <c r="HZ7" i="22"/>
  <c r="HR7" i="22"/>
  <c r="GO9" i="22"/>
  <c r="GN9" i="22"/>
  <c r="GG9" i="22"/>
  <c r="GH9" i="22"/>
  <c r="E53" i="19"/>
  <c r="E17" i="22"/>
</calcChain>
</file>

<file path=xl/sharedStrings.xml><?xml version="1.0" encoding="utf-8"?>
<sst xmlns="http://schemas.openxmlformats.org/spreadsheetml/2006/main" count="1307" uniqueCount="160">
  <si>
    <t>#</t>
  </si>
  <si>
    <t>First Name</t>
  </si>
  <si>
    <t>Last Name</t>
  </si>
  <si>
    <t>M/F</t>
  </si>
  <si>
    <r>
      <t xml:space="preserve">Non-Qual
</t>
    </r>
    <r>
      <rPr>
        <sz val="8"/>
        <color indexed="8"/>
        <rFont val="Calibri"/>
        <family val="2"/>
      </rPr>
      <t>(Y or N)</t>
    </r>
  </si>
  <si>
    <t>Team:</t>
  </si>
  <si>
    <t>Coach:</t>
  </si>
  <si>
    <t>Participant
ID#</t>
  </si>
  <si>
    <t>EventName</t>
  </si>
  <si>
    <t>ALT-Alternates</t>
  </si>
  <si>
    <t>MSRS-Male Single Rope Speed</t>
  </si>
  <si>
    <t>FSRS-Female Single Rope Speed</t>
  </si>
  <si>
    <t>DDSR-Double Dutch Speed Relay</t>
  </si>
  <si>
    <t>MSRF-Male Single Rope Freestyle</t>
  </si>
  <si>
    <t>FSRF-Female Single Rope Freestyle</t>
  </si>
  <si>
    <t>SRPF-Single Rope Pairs Freestyle</t>
  </si>
  <si>
    <t>DDSF-Double Dutch Single Freestyle</t>
  </si>
  <si>
    <t>DDPF-Double Dutch Pairs Freestyle</t>
  </si>
  <si>
    <t>TEAM</t>
  </si>
  <si>
    <t>EVENT</t>
  </si>
  <si>
    <t>AGE</t>
  </si>
  <si>
    <t>compid1</t>
  </si>
  <si>
    <t>compid2</t>
  </si>
  <si>
    <t>compid3</t>
  </si>
  <si>
    <t>compid4</t>
  </si>
  <si>
    <t>Valid Ages</t>
  </si>
  <si>
    <t>11-12</t>
  </si>
  <si>
    <t>13-14</t>
  </si>
  <si>
    <t>15-17</t>
  </si>
  <si>
    <t>18-22</t>
  </si>
  <si>
    <t>Event</t>
  </si>
  <si>
    <t>Age</t>
  </si>
  <si>
    <t>AgeID</t>
  </si>
  <si>
    <t>Age Group</t>
  </si>
  <si>
    <t>Team #</t>
  </si>
  <si>
    <t>Name</t>
  </si>
  <si>
    <t>Age as of</t>
  </si>
  <si>
    <t>Team Show</t>
  </si>
  <si>
    <t>Judges</t>
  </si>
  <si>
    <t>Competitor Information</t>
  </si>
  <si>
    <t>Coach Phone #:</t>
  </si>
  <si>
    <t>For Tournament Director Use Only</t>
  </si>
  <si>
    <t>Teams must declare a “coach of record”for each tournament. The coach of record is any adult that will fulfill the duties of the</t>
  </si>
  <si>
    <t>official coach if the official coach is unavailable due to judging, competing, serving as a tournament director, or is absent from</t>
  </si>
  <si>
    <t>the premises for any reason. The coach of record may be contacted in case of emergency, file protests, advocate for jumpers, and</t>
  </si>
  <si>
    <t>act as the official spokesperson for the team when the official coach is not available.</t>
  </si>
  <si>
    <t>For Tournament Data Management Only - Please do not modify this data!</t>
  </si>
  <si>
    <t>Compete Order</t>
  </si>
  <si>
    <t>Event Code</t>
  </si>
  <si>
    <t>#/Rank</t>
  </si>
  <si>
    <t>Tournament Database Import Records - Please do not modify!!</t>
  </si>
  <si>
    <t>Coach Email:</t>
  </si>
  <si>
    <t>Coach of Record:</t>
  </si>
  <si>
    <t>9</t>
  </si>
  <si>
    <t>10</t>
  </si>
  <si>
    <t>9-10</t>
  </si>
  <si>
    <t>11</t>
  </si>
  <si>
    <t>12</t>
  </si>
  <si>
    <t>13</t>
  </si>
  <si>
    <t>14</t>
  </si>
  <si>
    <t>MSRP-Male Single Rope Power</t>
  </si>
  <si>
    <t>FSRP-Female Single Rope Power</t>
  </si>
  <si>
    <t>SRPS-Single Rope Pairs Speed</t>
  </si>
  <si>
    <t>SRPP-Single Rope Pairs Power</t>
  </si>
  <si>
    <t>DDSS-Double Dutch Single Speed</t>
  </si>
  <si>
    <t>DDSP-Double Dutch Single Power</t>
  </si>
  <si>
    <t>JGR-Junior Group Routine</t>
  </si>
  <si>
    <t>SGR-Senior Group Routine</t>
  </si>
  <si>
    <t>Age Group Male</t>
  </si>
  <si>
    <t>Age Group Female</t>
  </si>
  <si>
    <t>8 and under age group</t>
  </si>
  <si>
    <t>8-under</t>
  </si>
  <si>
    <t>JGR</t>
  </si>
  <si>
    <t>SGR</t>
  </si>
  <si>
    <t>8 and under</t>
  </si>
  <si>
    <t>Individual Rope Pairs Events</t>
  </si>
  <si>
    <t>SRPx</t>
  </si>
  <si>
    <t>Y</t>
  </si>
  <si>
    <t>N</t>
  </si>
  <si>
    <t>M</t>
  </si>
  <si>
    <t>F</t>
  </si>
  <si>
    <r>
      <t xml:space="preserve">Bday
</t>
    </r>
    <r>
      <rPr>
        <sz val="8"/>
        <color indexed="8"/>
        <rFont val="Calibri"/>
        <family val="2"/>
      </rPr>
      <t>(mm/dd/yyyy)</t>
    </r>
  </si>
  <si>
    <t>THE TOP TEN WINNERS IN THE QUALIFIER MEDAL EVENTS QUALIFY FOR THE AAU JUNIOR OLYMPIC GAMES.   All athletes compete in a triple crown combined event with three (3) component events:  speed, double unders and freestyle. Triple unders in 15-17 and 18-22 age-groups.</t>
  </si>
  <si>
    <t>AAAAADa36+w=</t>
  </si>
  <si>
    <t>AAAAADa36+0=</t>
  </si>
  <si>
    <t>AAAAADa36+4=</t>
  </si>
  <si>
    <t>AAAAADa36+8=</t>
  </si>
  <si>
    <t>8-Under</t>
  </si>
  <si>
    <t>MSRx</t>
  </si>
  <si>
    <t>FSRx</t>
  </si>
  <si>
    <t>AAU</t>
  </si>
  <si>
    <t>Tournament Type</t>
  </si>
  <si>
    <t>AAU #</t>
  </si>
  <si>
    <t>Your tournament information here</t>
  </si>
  <si>
    <t>Count of AGE</t>
  </si>
  <si>
    <t>Row Labels</t>
  </si>
  <si>
    <t>Grand Total</t>
  </si>
  <si>
    <t>Total</t>
  </si>
  <si>
    <t>10-Under</t>
  </si>
  <si>
    <t>12-Under</t>
  </si>
  <si>
    <r>
      <t>The coaches’ box has been renamed “Support Box”.</t>
    </r>
    <r>
      <rPr>
        <u/>
        <sz val="8"/>
        <color theme="1"/>
        <rFont val="Calibri"/>
        <family val="2"/>
        <scheme val="minor"/>
      </rPr>
      <t xml:space="preserve"> A team may declare up to 4 support people including the Coach and the “Coach of Record”</t>
    </r>
    <r>
      <rPr>
        <sz val="8"/>
        <color theme="1"/>
        <rFont val="Calibri"/>
        <family val="2"/>
        <scheme val="minor"/>
      </rPr>
      <t xml:space="preserve">.  The support people must be at least 18 years of age.  These support people, along with the official coach and the “coach of record”, will be allowed in the support box.  The support people may or may not be registered athletes and must be named at the time of registration.  Support people will </t>
    </r>
    <r>
      <rPr>
        <u/>
        <sz val="8"/>
        <color theme="1"/>
        <rFont val="Calibri"/>
        <family val="2"/>
        <scheme val="minor"/>
      </rPr>
      <t>not</t>
    </r>
    <r>
      <rPr>
        <sz val="8"/>
        <color theme="1"/>
        <rFont val="Calibri"/>
        <family val="2"/>
        <scheme val="minor"/>
      </rPr>
      <t xml:space="preserve"> have any official coaching or coach of record decision-making duties while in the box and on the floor.  All coaching decisions and inquiries must go through team coach or coach of record.  Requests for exceptions may be made in writing to the Tournament Director.</t>
    </r>
  </si>
  <si>
    <t>Support Box Access:             1</t>
  </si>
  <si>
    <t>OPTIONAL:</t>
  </si>
  <si>
    <r>
      <t xml:space="preserve">Teams may provide a Team Contact to receive information and correspondance from the USAJR office or Tournament Director regarding this tournament </t>
    </r>
    <r>
      <rPr>
        <b/>
        <i/>
        <sz val="10"/>
        <color theme="1"/>
        <rFont val="Calibri"/>
        <family val="2"/>
        <scheme val="minor"/>
      </rPr>
      <t>in addition to the Head Coach.</t>
    </r>
  </si>
  <si>
    <t>Team Contact:</t>
  </si>
  <si>
    <t>Team Contact Email:</t>
  </si>
  <si>
    <t>Team Contact Phone:</t>
  </si>
  <si>
    <t>3 Person Double Dutch Triathalon (Mixed)</t>
  </si>
  <si>
    <t>Male Single Rope Triathalon</t>
  </si>
  <si>
    <t>Female Single Rope Triathalon</t>
  </si>
  <si>
    <t>4 Person Double Dutch Triathalon (Mixed)</t>
  </si>
  <si>
    <t>THE TOP TEN WINNERS IN THE QUALIFIER MEDAL EVENTS QUALIFY FOR THE AAU JUNIOR OLYMPIC GAMES. All teams compete in three events of the triathlon, including 1 min speed, 1 min power and freestyle.  The age of the oldest athlete determines the age-group.</t>
  </si>
  <si>
    <t>THE TOP TEN WINNERS IN THE QUALIFIER MEDAL EVENTS QUALIFY FOR THE AAU JUNIOR OLYMPIC GAMES. All teams compete in all 3 events of the triathlon, including 4 x 30 speed, 2x30 power and pairs freestyle.  The age of the oldest athlete determines the age-group.</t>
  </si>
  <si>
    <t>4 Person Single Rope Freestyle Event</t>
  </si>
  <si>
    <t>3PDD</t>
  </si>
  <si>
    <t>4PDD</t>
  </si>
  <si>
    <t>4PSR</t>
  </si>
  <si>
    <t>14-Under</t>
  </si>
  <si>
    <t>15-22</t>
  </si>
  <si>
    <t>15-16</t>
  </si>
  <si>
    <t>17-18</t>
  </si>
  <si>
    <t>19-22</t>
  </si>
  <si>
    <t>16-18</t>
  </si>
  <si>
    <t>15-Over</t>
  </si>
  <si>
    <t>Single Rope Triathalon</t>
  </si>
  <si>
    <t>Male Triple Under (15 - Over)</t>
  </si>
  <si>
    <t>Female Triple Under (15 - Over)</t>
  </si>
  <si>
    <t>FTU</t>
  </si>
  <si>
    <t>MTU</t>
  </si>
  <si>
    <t>(Note 1st name will be listed on Heat sheets)</t>
  </si>
  <si>
    <t>Senior Group Routine (At least one participant is 15-Over)</t>
  </si>
  <si>
    <t>Junior Group Routine (All Participants are 14 and under)</t>
  </si>
  <si>
    <t>THE TOP TEN WINNERS IN THE QUALIFIER MEDAL EVENTS QUALIFY FOR THE AAU JUNIOR OLYMPIC GAMES. All teams compete in all three events of the triathlon including 1min speed, 1 min double unders, freestyle.  The age of the oldest athlete determines the age-group.</t>
  </si>
  <si>
    <t>THE TOP TEN WINNERS IN THE QUALIFIER MEDAL EVENTS QUALIFY FOR THE AAU JUNIOR OLYMPIC GAMES. Each 4 person team will compete in 4 person single rope freestyle.  The age of the oldest athlete determines the age-group.</t>
  </si>
  <si>
    <t>No</t>
  </si>
  <si>
    <t>Yes</t>
  </si>
  <si>
    <t>AB1234C</t>
  </si>
  <si>
    <t>ex. Smith</t>
  </si>
  <si>
    <t>ex. John</t>
  </si>
  <si>
    <t>where needed</t>
  </si>
  <si>
    <t>*Computer Table</t>
  </si>
  <si>
    <t>*Audio Asst.</t>
  </si>
  <si>
    <t>Clerk</t>
  </si>
  <si>
    <t>Runner</t>
  </si>
  <si>
    <t>Tabulator</t>
  </si>
  <si>
    <t>.</t>
  </si>
  <si>
    <t>Yrs Nat'l Exp.</t>
  </si>
  <si>
    <t>Yrs Reg. Exp.</t>
  </si>
  <si>
    <t>Floor Mgr</t>
  </si>
  <si>
    <t>Head Free</t>
  </si>
  <si>
    <t>Head Content</t>
  </si>
  <si>
    <t>Content</t>
  </si>
  <si>
    <t>Head Present</t>
  </si>
  <si>
    <t>Presentation</t>
  </si>
  <si>
    <t>Head Speed</t>
  </si>
  <si>
    <t>Speed</t>
  </si>
  <si>
    <t>Level 1 or 2</t>
  </si>
  <si>
    <t>Non-Judging Volunteers</t>
  </si>
  <si>
    <r>
      <t xml:space="preserve">Coaches:  </t>
    </r>
    <r>
      <rPr>
        <sz val="11"/>
        <color theme="1"/>
        <rFont val="Calibri"/>
        <family val="2"/>
        <scheme val="minor"/>
      </rPr>
      <t>Complete the information in each column for each person being nominated as a judge or volunteer for this event.  Teams are required to provide a minimum of 1 judge for every 4 athletes competing in this event, and additinal judges are always helpful.  Judges that are available as either only a speed judge or only a freestyle judge will count as 0.5 judge.  Non-judging volunteers are also needed.   Please only indicate Yes in columns with "*" if person has experience in that area.</t>
    </r>
  </si>
  <si>
    <t xml:space="preserve">Team: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</si>
</sst>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33" x14ac:knownFonts="1">
    <font>
      <sz val="11"/>
      <color theme="1"/>
      <name val="Calibri"/>
      <family val="2"/>
      <scheme val="minor"/>
    </font>
    <font>
      <sz val="11"/>
      <color indexed="8"/>
      <name val="Calibri"/>
      <family val="2"/>
    </font>
    <font>
      <sz val="8"/>
      <color indexed="8"/>
      <name val="Calibri"/>
      <family val="2"/>
    </font>
    <font>
      <sz val="10"/>
      <color indexed="8"/>
      <name val="Arial"/>
      <family val="2"/>
    </font>
    <font>
      <sz val="11"/>
      <color indexed="8"/>
      <name val="Calibri"/>
      <family val="2"/>
    </font>
    <font>
      <sz val="11"/>
      <color indexed="8"/>
      <name val="Calibri"/>
      <family val="2"/>
    </font>
    <font>
      <sz val="10"/>
      <color indexed="8"/>
      <name val="Arial"/>
      <family val="2"/>
    </font>
    <font>
      <sz val="9"/>
      <color indexed="8"/>
      <name val="Calibri"/>
      <family val="2"/>
    </font>
    <font>
      <sz val="11"/>
      <color indexed="8"/>
      <name val="Calibri"/>
      <family val="2"/>
    </font>
    <font>
      <sz val="10"/>
      <color indexed="8"/>
      <name val="Arial"/>
      <family val="2"/>
    </font>
    <font>
      <b/>
      <sz val="11"/>
      <color theme="1"/>
      <name val="Calibri"/>
      <family val="2"/>
      <scheme val="minor"/>
    </font>
    <font>
      <sz val="11"/>
      <color rgb="FFFF0000"/>
      <name val="Calibri"/>
      <family val="2"/>
      <scheme val="minor"/>
    </font>
    <font>
      <b/>
      <sz val="14"/>
      <color theme="1"/>
      <name val="Times New Roman"/>
      <family val="1"/>
    </font>
    <font>
      <b/>
      <sz val="8"/>
      <color theme="1"/>
      <name val="Times New Roman"/>
      <family val="1"/>
    </font>
    <font>
      <sz val="8"/>
      <color theme="1"/>
      <name val="Calibri"/>
      <family val="2"/>
      <scheme val="minor"/>
    </font>
    <font>
      <b/>
      <sz val="8"/>
      <color theme="1"/>
      <name val="Calibri"/>
      <family val="2"/>
      <scheme val="minor"/>
    </font>
    <font>
      <b/>
      <sz val="14"/>
      <color theme="1"/>
      <name val="Calibri"/>
      <family val="2"/>
      <scheme val="minor"/>
    </font>
    <font>
      <b/>
      <u/>
      <sz val="11"/>
      <color theme="1"/>
      <name val="Calibri"/>
      <family val="2"/>
      <scheme val="minor"/>
    </font>
    <font>
      <b/>
      <u/>
      <sz val="12"/>
      <color theme="1"/>
      <name val="Calibri"/>
      <family val="2"/>
      <scheme val="minor"/>
    </font>
    <font>
      <b/>
      <sz val="18"/>
      <color theme="1"/>
      <name val="Calibri"/>
      <family val="2"/>
      <scheme val="minor"/>
    </font>
    <font>
      <b/>
      <sz val="16"/>
      <color theme="1"/>
      <name val="Calibri"/>
      <family val="2"/>
      <scheme val="minor"/>
    </font>
    <font>
      <b/>
      <sz val="11"/>
      <color rgb="FFFF0000"/>
      <name val="Calibri"/>
      <family val="2"/>
      <scheme val="minor"/>
    </font>
    <font>
      <sz val="10"/>
      <color rgb="FF000000"/>
      <name val="Arial"/>
      <family val="2"/>
    </font>
    <font>
      <sz val="8"/>
      <color rgb="FF000000"/>
      <name val="Tahoma"/>
      <family val="2"/>
    </font>
    <font>
      <sz val="8"/>
      <color theme="1"/>
      <name val="Arial"/>
      <family val="2"/>
    </font>
    <font>
      <sz val="8"/>
      <name val="Calibri"/>
      <family val="2"/>
      <scheme val="minor"/>
    </font>
    <font>
      <sz val="11"/>
      <color indexed="8"/>
      <name val="Calibri"/>
      <family val="2"/>
    </font>
    <font>
      <sz val="10"/>
      <color indexed="8"/>
      <name val="Arial"/>
      <family val="2"/>
    </font>
    <font>
      <u/>
      <sz val="8"/>
      <color theme="1"/>
      <name val="Calibri"/>
      <family val="2"/>
      <scheme val="minor"/>
    </font>
    <font>
      <sz val="10"/>
      <color theme="1"/>
      <name val="Calibri"/>
      <family val="2"/>
      <scheme val="minor"/>
    </font>
    <font>
      <b/>
      <i/>
      <sz val="10"/>
      <color theme="1"/>
      <name val="Calibri"/>
      <family val="2"/>
      <scheme val="minor"/>
    </font>
    <font>
      <i/>
      <sz val="11"/>
      <color theme="1"/>
      <name val="Calibri"/>
      <family val="2"/>
      <scheme val="minor"/>
    </font>
    <font>
      <u/>
      <sz val="11"/>
      <color theme="1"/>
      <name val="Calibri"/>
      <family val="2"/>
      <scheme val="minor"/>
    </font>
  </fonts>
  <fills count="9">
    <fill>
      <patternFill patternType="none"/>
    </fill>
    <fill>
      <patternFill patternType="gray125"/>
    </fill>
    <fill>
      <patternFill patternType="solid">
        <fgColor indexed="22"/>
        <bgColor indexed="0"/>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s>
  <borders count="33">
    <border>
      <left/>
      <right/>
      <top/>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auto="1"/>
      </bottom>
      <diagonal/>
    </border>
    <border>
      <left style="medium">
        <color indexed="64"/>
      </left>
      <right/>
      <top/>
      <bottom style="medium">
        <color indexed="64"/>
      </bottom>
      <diagonal/>
    </border>
    <border>
      <left style="thin">
        <color indexed="64"/>
      </left>
      <right style="thin">
        <color indexed="64"/>
      </right>
      <top/>
      <bottom/>
      <diagonal/>
    </border>
    <border>
      <left/>
      <right/>
      <top/>
      <bottom style="thin">
        <color indexed="64"/>
      </bottom>
      <diagonal/>
    </border>
  </borders>
  <cellStyleXfs count="5">
    <xf numFmtId="0" fontId="0" fillId="0" borderId="0"/>
    <xf numFmtId="0" fontId="9" fillId="0" borderId="0"/>
    <xf numFmtId="0" fontId="3" fillId="0" borderId="0"/>
    <xf numFmtId="0" fontId="6" fillId="0" borderId="0"/>
    <xf numFmtId="0" fontId="27" fillId="0" borderId="0"/>
  </cellStyleXfs>
  <cellXfs count="116">
    <xf numFmtId="0" fontId="0" fillId="0" borderId="0" xfId="0"/>
    <xf numFmtId="0" fontId="0" fillId="0" borderId="2" xfId="0" applyBorder="1" applyAlignment="1">
      <alignment horizontal="center"/>
    </xf>
    <xf numFmtId="0" fontId="0" fillId="0" borderId="0" xfId="0" applyAlignment="1">
      <alignment horizontal="center"/>
    </xf>
    <xf numFmtId="0" fontId="4" fillId="0" borderId="1" xfId="2" applyFont="1" applyBorder="1"/>
    <xf numFmtId="0" fontId="4" fillId="2" borderId="3" xfId="2" applyFont="1" applyFill="1" applyBorder="1" applyAlignment="1">
      <alignment horizontal="center"/>
    </xf>
    <xf numFmtId="0" fontId="5" fillId="2" borderId="4" xfId="3" applyFont="1" applyFill="1" applyBorder="1" applyAlignment="1">
      <alignment horizontal="center"/>
    </xf>
    <xf numFmtId="0" fontId="11" fillId="6" borderId="9" xfId="0" applyFont="1" applyFill="1" applyBorder="1"/>
    <xf numFmtId="0" fontId="21" fillId="6" borderId="10" xfId="0" applyFont="1" applyFill="1" applyBorder="1"/>
    <xf numFmtId="0" fontId="4" fillId="2" borderId="4" xfId="3" applyFont="1" applyFill="1" applyBorder="1" applyAlignment="1">
      <alignment horizontal="center" wrapText="1"/>
    </xf>
    <xf numFmtId="0" fontId="0" fillId="3" borderId="2" xfId="0" applyFill="1" applyBorder="1" applyAlignment="1">
      <alignment wrapText="1"/>
    </xf>
    <xf numFmtId="0" fontId="11" fillId="6" borderId="9" xfId="0" applyFont="1" applyFill="1" applyBorder="1" applyAlignment="1">
      <alignment horizontal="center"/>
    </xf>
    <xf numFmtId="0" fontId="11" fillId="6" borderId="11" xfId="0" applyFont="1" applyFill="1" applyBorder="1" applyAlignment="1">
      <alignment horizontal="center"/>
    </xf>
    <xf numFmtId="0" fontId="0" fillId="6" borderId="9" xfId="0" applyFill="1" applyBorder="1"/>
    <xf numFmtId="0" fontId="0" fillId="6" borderId="11" xfId="0" applyFill="1" applyBorder="1"/>
    <xf numFmtId="0" fontId="0" fillId="0" borderId="2" xfId="0" applyBorder="1" applyAlignment="1" applyProtection="1">
      <alignment horizontal="center"/>
      <protection locked="0"/>
    </xf>
    <xf numFmtId="0" fontId="0" fillId="0" borderId="2" xfId="0" applyBorder="1" applyProtection="1">
      <protection locked="0"/>
    </xf>
    <xf numFmtId="0" fontId="5" fillId="2" borderId="2" xfId="3" applyFont="1" applyFill="1" applyBorder="1" applyAlignment="1">
      <alignment horizontal="center" wrapText="1"/>
    </xf>
    <xf numFmtId="0" fontId="7" fillId="2" borderId="2" xfId="3" applyFont="1" applyFill="1" applyBorder="1" applyAlignment="1">
      <alignment horizontal="center" wrapText="1"/>
    </xf>
    <xf numFmtId="16" fontId="1" fillId="0" borderId="2" xfId="1" quotePrefix="1" applyNumberFormat="1" applyFont="1" applyBorder="1" applyAlignment="1">
      <alignment horizontal="center" wrapText="1"/>
    </xf>
    <xf numFmtId="0" fontId="1" fillId="0" borderId="2" xfId="1" quotePrefix="1" applyFont="1" applyBorder="1" applyAlignment="1">
      <alignment horizontal="center" wrapText="1"/>
    </xf>
    <xf numFmtId="0" fontId="15" fillId="4" borderId="2" xfId="0" applyFont="1" applyFill="1" applyBorder="1" applyAlignment="1">
      <alignment horizontal="center"/>
    </xf>
    <xf numFmtId="0" fontId="14" fillId="5" borderId="2" xfId="0" applyFont="1" applyFill="1" applyBorder="1"/>
    <xf numFmtId="0" fontId="0" fillId="0" borderId="0" xfId="0" applyAlignment="1">
      <alignment horizontal="centerContinuous"/>
    </xf>
    <xf numFmtId="0" fontId="9" fillId="0" borderId="0" xfId="1"/>
    <xf numFmtId="0" fontId="3" fillId="0" borderId="0" xfId="2"/>
    <xf numFmtId="0" fontId="6" fillId="0" borderId="0" xfId="3"/>
    <xf numFmtId="0" fontId="22" fillId="0" borderId="2" xfId="0" applyFont="1" applyBorder="1" applyProtection="1">
      <protection locked="0"/>
    </xf>
    <xf numFmtId="0" fontId="1" fillId="0" borderId="1" xfId="1" applyFont="1" applyBorder="1" applyAlignment="1">
      <alignment wrapText="1"/>
    </xf>
    <xf numFmtId="0" fontId="0" fillId="4" borderId="2" xfId="0" applyFill="1" applyBorder="1" applyAlignment="1">
      <alignment horizontal="center"/>
    </xf>
    <xf numFmtId="0" fontId="0" fillId="5" borderId="2" xfId="0" applyFill="1" applyBorder="1"/>
    <xf numFmtId="0" fontId="0" fillId="5" borderId="2" xfId="0" applyFill="1" applyBorder="1" applyAlignment="1">
      <alignment horizontal="right"/>
    </xf>
    <xf numFmtId="0" fontId="20" fillId="0" borderId="0" xfId="0" applyFont="1" applyProtection="1">
      <protection locked="0"/>
    </xf>
    <xf numFmtId="0" fontId="0" fillId="5" borderId="2" xfId="0" applyFill="1" applyBorder="1" applyAlignment="1" applyProtection="1">
      <alignment horizontal="right"/>
      <protection locked="0"/>
    </xf>
    <xf numFmtId="0" fontId="19" fillId="0" borderId="0" xfId="0" applyFont="1" applyAlignment="1">
      <alignment horizontal="left"/>
    </xf>
    <xf numFmtId="0" fontId="18" fillId="0" borderId="0" xfId="0" applyFont="1" applyAlignment="1">
      <alignment horizontal="right"/>
    </xf>
    <xf numFmtId="0" fontId="16" fillId="0" borderId="0" xfId="0" applyFont="1" applyAlignment="1">
      <alignment horizontal="left"/>
    </xf>
    <xf numFmtId="0" fontId="0" fillId="4" borderId="2" xfId="0" applyFill="1" applyBorder="1"/>
    <xf numFmtId="14" fontId="0" fillId="4" borderId="2" xfId="0" applyNumberFormat="1" applyFill="1" applyBorder="1"/>
    <xf numFmtId="14" fontId="0" fillId="0" borderId="0" xfId="0" applyNumberFormat="1"/>
    <xf numFmtId="0" fontId="12" fillId="0" borderId="0" xfId="0" applyFont="1" applyAlignment="1">
      <alignment horizontal="left" vertical="center"/>
    </xf>
    <xf numFmtId="0" fontId="17" fillId="0" borderId="0" xfId="0" applyFont="1"/>
    <xf numFmtId="0" fontId="0" fillId="0" borderId="0" xfId="0" applyAlignment="1">
      <alignment horizontal="left"/>
    </xf>
    <xf numFmtId="15" fontId="15" fillId="4" borderId="2" xfId="0" applyNumberFormat="1" applyFont="1" applyFill="1" applyBorder="1" applyAlignment="1">
      <alignment horizontal="center" wrapText="1"/>
    </xf>
    <xf numFmtId="0" fontId="14" fillId="4" borderId="2" xfId="0" applyFont="1" applyFill="1" applyBorder="1" applyAlignment="1">
      <alignment horizontal="center"/>
    </xf>
    <xf numFmtId="0" fontId="13" fillId="0" borderId="0" xfId="0" applyFont="1" applyAlignment="1">
      <alignment horizontal="left" vertical="center"/>
    </xf>
    <xf numFmtId="0" fontId="14" fillId="0" borderId="0" xfId="0" applyFont="1"/>
    <xf numFmtId="0" fontId="14" fillId="0" borderId="0" xfId="0" applyFont="1" applyAlignment="1">
      <alignment horizontal="centerContinuous"/>
    </xf>
    <xf numFmtId="16" fontId="0" fillId="0" borderId="0" xfId="0" quotePrefix="1" applyNumberFormat="1" applyAlignment="1">
      <alignment horizontal="centerContinuous"/>
    </xf>
    <xf numFmtId="0" fontId="14" fillId="4" borderId="2" xfId="0" quotePrefix="1" applyFont="1" applyFill="1" applyBorder="1" applyAlignment="1">
      <alignment horizontal="center"/>
    </xf>
    <xf numFmtId="0" fontId="0" fillId="0" borderId="0" xfId="0" quotePrefix="1" applyAlignment="1">
      <alignment horizontal="centerContinuous"/>
    </xf>
    <xf numFmtId="0" fontId="16" fillId="0" borderId="0" xfId="0" applyFont="1"/>
    <xf numFmtId="16" fontId="0" fillId="0" borderId="0" xfId="0" applyNumberFormat="1" applyAlignment="1">
      <alignment horizontal="centerContinuous"/>
    </xf>
    <xf numFmtId="164" fontId="22" fillId="0" borderId="2" xfId="0" applyNumberFormat="1" applyFont="1" applyBorder="1" applyAlignment="1" applyProtection="1">
      <alignment horizontal="center"/>
      <protection locked="0"/>
    </xf>
    <xf numFmtId="15" fontId="15" fillId="4" borderId="2" xfId="0" applyNumberFormat="1" applyFont="1" applyFill="1" applyBorder="1" applyAlignment="1">
      <alignment horizontal="center" vertical="top" wrapText="1"/>
    </xf>
    <xf numFmtId="0" fontId="15" fillId="4" borderId="2" xfId="0" applyFont="1" applyFill="1" applyBorder="1" applyAlignment="1">
      <alignment horizontal="center" vertical="top"/>
    </xf>
    <xf numFmtId="0" fontId="0" fillId="4" borderId="2" xfId="0" applyFill="1" applyBorder="1" applyAlignment="1">
      <alignment horizontal="center" vertical="top" wrapText="1"/>
    </xf>
    <xf numFmtId="0" fontId="0" fillId="4" borderId="2" xfId="0" applyFill="1" applyBorder="1" applyAlignment="1">
      <alignment horizontal="center" vertical="top"/>
    </xf>
    <xf numFmtId="0" fontId="0" fillId="4" borderId="2" xfId="0" quotePrefix="1" applyFill="1" applyBorder="1" applyAlignment="1">
      <alignment horizontal="center" vertical="top" wrapText="1"/>
    </xf>
    <xf numFmtId="0" fontId="0" fillId="0" borderId="0" xfId="0" pivotButton="1"/>
    <xf numFmtId="0" fontId="0" fillId="0" borderId="0" xfId="0" applyAlignment="1">
      <alignment horizontal="left" indent="1"/>
    </xf>
    <xf numFmtId="1" fontId="23" fillId="7" borderId="2" xfId="0" applyNumberFormat="1" applyFont="1" applyFill="1" applyBorder="1" applyAlignment="1" applyProtection="1">
      <alignment horizontal="center" wrapText="1"/>
      <protection locked="0"/>
    </xf>
    <xf numFmtId="0" fontId="26" fillId="0" borderId="1" xfId="4" applyFont="1" applyBorder="1" applyAlignment="1">
      <alignment horizontal="right" wrapText="1"/>
    </xf>
    <xf numFmtId="0" fontId="26" fillId="0" borderId="1" xfId="4" applyFont="1" applyBorder="1" applyAlignment="1">
      <alignment wrapText="1"/>
    </xf>
    <xf numFmtId="0" fontId="0" fillId="0" borderId="12" xfId="0" applyBorder="1"/>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10" fillId="0" borderId="0" xfId="0" applyFont="1"/>
    <xf numFmtId="0" fontId="0" fillId="0" borderId="17" xfId="0" applyBorder="1"/>
    <xf numFmtId="0" fontId="0" fillId="0" borderId="16" xfId="0" applyBorder="1" applyProtection="1">
      <protection locked="0"/>
    </xf>
    <xf numFmtId="0" fontId="0" fillId="0" borderId="21" xfId="0" applyBorder="1"/>
    <xf numFmtId="0" fontId="0" fillId="0" borderId="23" xfId="0" applyBorder="1" applyProtection="1">
      <protection locked="0"/>
    </xf>
    <xf numFmtId="0" fontId="10" fillId="5" borderId="24" xfId="0" applyFont="1" applyFill="1" applyBorder="1"/>
    <xf numFmtId="0" fontId="0" fillId="0" borderId="25" xfId="0" applyBorder="1" applyProtection="1">
      <protection locked="0"/>
    </xf>
    <xf numFmtId="0" fontId="10" fillId="5" borderId="26" xfId="0" applyFont="1" applyFill="1" applyBorder="1"/>
    <xf numFmtId="0" fontId="0" fillId="0" borderId="20" xfId="0" applyBorder="1" applyProtection="1">
      <protection locked="0"/>
    </xf>
    <xf numFmtId="0" fontId="10" fillId="5" borderId="20" xfId="0" applyFont="1" applyFill="1" applyBorder="1" applyAlignment="1">
      <alignment horizontal="right"/>
    </xf>
    <xf numFmtId="0" fontId="10" fillId="5" borderId="20" xfId="0" applyFont="1" applyFill="1" applyBorder="1"/>
    <xf numFmtId="0" fontId="0" fillId="0" borderId="28" xfId="0" applyBorder="1"/>
    <xf numFmtId="0" fontId="0" fillId="0" borderId="30" xfId="0" applyBorder="1"/>
    <xf numFmtId="0" fontId="10" fillId="5" borderId="22" xfId="0" applyFont="1" applyFill="1" applyBorder="1"/>
    <xf numFmtId="0" fontId="1" fillId="0" borderId="1" xfId="4" applyFont="1" applyBorder="1" applyAlignment="1">
      <alignment wrapText="1"/>
    </xf>
    <xf numFmtId="0" fontId="1" fillId="0" borderId="2" xfId="3" applyFont="1" applyBorder="1" applyAlignment="1">
      <alignment horizontal="center" wrapText="1"/>
    </xf>
    <xf numFmtId="0" fontId="0" fillId="0" borderId="20" xfId="0" applyBorder="1" applyAlignment="1" applyProtection="1">
      <alignment horizontal="center"/>
      <protection locked="0"/>
    </xf>
    <xf numFmtId="0" fontId="0" fillId="4" borderId="20" xfId="0" applyFill="1" applyBorder="1"/>
    <xf numFmtId="0" fontId="8" fillId="0" borderId="2" xfId="1" applyFont="1" applyBorder="1" applyAlignment="1">
      <alignment horizontal="center" wrapText="1"/>
    </xf>
    <xf numFmtId="0" fontId="0" fillId="0" borderId="20" xfId="0" applyBorder="1"/>
    <xf numFmtId="0" fontId="31" fillId="0" borderId="20" xfId="0" applyFont="1" applyBorder="1" applyAlignment="1">
      <alignment horizontal="center"/>
    </xf>
    <xf numFmtId="0" fontId="31" fillId="4" borderId="20" xfId="0" applyFont="1" applyFill="1" applyBorder="1" applyAlignment="1">
      <alignment horizontal="center"/>
    </xf>
    <xf numFmtId="0" fontId="31" fillId="0" borderId="20" xfId="0" applyFont="1" applyBorder="1"/>
    <xf numFmtId="0" fontId="0" fillId="0" borderId="0" xfId="0" applyAlignment="1">
      <alignment horizontal="center" wrapText="1"/>
    </xf>
    <xf numFmtId="0" fontId="0" fillId="0" borderId="31" xfId="0" applyBorder="1" applyAlignment="1">
      <alignment horizontal="center" textRotation="45"/>
    </xf>
    <xf numFmtId="0" fontId="0" fillId="0" borderId="20" xfId="0" applyBorder="1" applyAlignment="1">
      <alignment horizontal="center" textRotation="45"/>
    </xf>
    <xf numFmtId="0" fontId="0" fillId="4" borderId="20" xfId="0" applyFill="1" applyBorder="1" applyAlignment="1">
      <alignment horizontal="center" textRotation="45" wrapText="1"/>
    </xf>
    <xf numFmtId="0" fontId="0" fillId="0" borderId="20" xfId="0" applyBorder="1" applyAlignment="1">
      <alignment horizontal="center" textRotation="45" wrapText="1"/>
    </xf>
    <xf numFmtId="0" fontId="0" fillId="0" borderId="20" xfId="0" applyBorder="1" applyAlignment="1">
      <alignment wrapText="1"/>
    </xf>
    <xf numFmtId="0" fontId="0" fillId="4" borderId="20" xfId="0" applyFill="1" applyBorder="1" applyAlignment="1">
      <alignment horizontal="center"/>
    </xf>
    <xf numFmtId="0" fontId="32" fillId="0" borderId="0" xfId="0" applyFont="1"/>
    <xf numFmtId="0" fontId="14" fillId="8" borderId="27" xfId="0" applyFont="1" applyFill="1" applyBorder="1"/>
    <xf numFmtId="0" fontId="14" fillId="8" borderId="5" xfId="0" applyFont="1" applyFill="1" applyBorder="1"/>
    <xf numFmtId="0" fontId="14" fillId="8" borderId="28" xfId="0" applyFont="1" applyFill="1" applyBorder="1"/>
    <xf numFmtId="0" fontId="14" fillId="8" borderId="6" xfId="0" applyFont="1" applyFill="1" applyBorder="1"/>
    <xf numFmtId="0" fontId="14" fillId="8" borderId="29" xfId="0" applyFont="1" applyFill="1" applyBorder="1"/>
    <xf numFmtId="0" fontId="14" fillId="8" borderId="8" xfId="0" applyFont="1" applyFill="1" applyBorder="1"/>
    <xf numFmtId="0" fontId="2" fillId="8" borderId="13" xfId="0" applyFont="1" applyFill="1" applyBorder="1" applyAlignment="1">
      <alignment horizontal="center" wrapText="1"/>
    </xf>
    <xf numFmtId="0" fontId="2" fillId="8" borderId="14" xfId="0" applyFont="1" applyFill="1" applyBorder="1" applyAlignment="1">
      <alignment horizontal="center" wrapText="1"/>
    </xf>
    <xf numFmtId="0" fontId="2" fillId="8" borderId="7" xfId="0" applyFont="1" applyFill="1" applyBorder="1" applyAlignment="1">
      <alignment horizontal="center" wrapText="1"/>
    </xf>
    <xf numFmtId="0" fontId="2" fillId="8" borderId="15" xfId="0" applyFont="1" applyFill="1" applyBorder="1" applyAlignment="1">
      <alignment horizontal="center" wrapText="1"/>
    </xf>
    <xf numFmtId="0" fontId="29" fillId="8" borderId="18" xfId="0" applyFont="1" applyFill="1" applyBorder="1" applyAlignment="1">
      <alignment horizontal="left" wrapText="1"/>
    </xf>
    <xf numFmtId="0" fontId="29" fillId="8" borderId="19" xfId="0" applyFont="1" applyFill="1" applyBorder="1" applyAlignment="1">
      <alignment horizontal="left" wrapText="1"/>
    </xf>
    <xf numFmtId="0" fontId="10" fillId="0" borderId="0" xfId="0" applyFont="1" applyAlignment="1">
      <alignment horizontal="right"/>
    </xf>
    <xf numFmtId="0" fontId="10" fillId="0" borderId="0" xfId="0" applyFont="1" applyAlignment="1">
      <alignment horizontal="left" wrapText="1"/>
    </xf>
    <xf numFmtId="0" fontId="0" fillId="0" borderId="0" xfId="0" applyAlignment="1">
      <alignment horizontal="center"/>
    </xf>
    <xf numFmtId="0" fontId="10" fillId="0" borderId="32" xfId="0" applyFont="1" applyBorder="1" applyAlignment="1">
      <alignment horizontal="left" wrapText="1"/>
    </xf>
    <xf numFmtId="0" fontId="24" fillId="8" borderId="0" xfId="0" applyFont="1" applyFill="1" applyAlignment="1">
      <alignment horizontal="justify" vertical="center"/>
    </xf>
    <xf numFmtId="0" fontId="14" fillId="8" borderId="0" xfId="0" applyFont="1" applyFill="1"/>
    <xf numFmtId="0" fontId="0" fillId="8" borderId="0" xfId="0" applyFill="1"/>
  </cellXfs>
  <cellStyles count="5">
    <cellStyle name="Normal" xfId="0" builtinId="0"/>
    <cellStyle name="Normal_Lists" xfId="1" xr:uid="{00000000-0005-0000-0000-000001000000}"/>
    <cellStyle name="Normal_Lists_1" xfId="4" xr:uid="{00000000-0005-0000-0000-000002000000}"/>
    <cellStyle name="Normal_Sheet8" xfId="2" xr:uid="{00000000-0005-0000-0000-000003000000}"/>
    <cellStyle name="Normal_Sheet8_1" xfId="3" xr:uid="{00000000-0005-0000-0000-000004000000}"/>
  </cellStyles>
  <dxfs count="5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ont>
        <color auto="1"/>
      </font>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tint="-0.14996795556505021"/>
      </font>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17</xdr:col>
      <xdr:colOff>7620</xdr:colOff>
      <xdr:row>1</xdr:row>
      <xdr:rowOff>76200</xdr:rowOff>
    </xdr:from>
    <xdr:ext cx="2232660" cy="264560"/>
    <xdr:sp macro="" textlink="">
      <xdr:nvSpPr>
        <xdr:cNvPr id="2" name="TextBox 1">
          <a:extLst>
            <a:ext uri="{FF2B5EF4-FFF2-40B4-BE49-F238E27FC236}">
              <a16:creationId xmlns:a16="http://schemas.microsoft.com/office/drawing/2014/main" id="{16714C27-EA25-46C8-BF5F-08E19AA621D2}"/>
            </a:ext>
          </a:extLst>
        </xdr:cNvPr>
        <xdr:cNvSpPr txBox="1"/>
      </xdr:nvSpPr>
      <xdr:spPr>
        <a:xfrm>
          <a:off x="10370820" y="266700"/>
          <a:ext cx="22326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i="1"/>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e Purser" refreshedDate="43079.427624074073" createdVersion="4" refreshedVersion="4" minRefreshableVersion="3" recordCount="408" xr:uid="{00000000-000A-0000-FFFF-FFFF00000000}">
  <cacheSource type="worksheet">
    <worksheetSource ref="A3:H411" sheet="ConsolidatedEventList"/>
  </cacheSource>
  <cacheFields count="8">
    <cacheField name="TEAM" numFmtId="0">
      <sharedItems containsSemiMixedTypes="0" containsString="0" containsNumber="1" containsInteger="1" minValue="0" maxValue="0"/>
    </cacheField>
    <cacheField name="#/Rank" numFmtId="0">
      <sharedItems containsSemiMixedTypes="0" containsString="0" containsNumber="1" containsInteger="1" minValue="1" maxValue="20"/>
    </cacheField>
    <cacheField name="EVENT" numFmtId="0">
      <sharedItems count="11">
        <s v="JGR"/>
        <s v="SGR"/>
        <s v="MSRx"/>
        <s v="FSRx"/>
        <s v="MTU"/>
        <s v="FTU"/>
        <s v="SRPx"/>
        <s v="3PDD"/>
        <s v="4PDD"/>
        <s v="4PSR"/>
        <s v="DDxx" u="1"/>
      </sharedItems>
    </cacheField>
    <cacheField name="AGE" numFmtId="0">
      <sharedItems containsMixedTypes="1" containsNumber="1" containsInteger="1" minValue="9" maxValue="14" count="20">
        <s v="14-Under"/>
        <s v="15-Over"/>
        <s v="8-under"/>
        <s v="9-10"/>
        <s v="11-12"/>
        <s v="13-14"/>
        <s v="15-16"/>
        <s v="17-18"/>
        <s v="19-22"/>
        <n v="10"/>
        <n v="12"/>
        <n v="14"/>
        <s v="16-18"/>
        <n v="9"/>
        <n v="11"/>
        <n v="13"/>
        <s v="15-17"/>
        <s v="18-22"/>
        <s v="12-Under"/>
        <s v="15-22"/>
      </sharedItems>
    </cacheField>
    <cacheField name="compid1" numFmtId="0">
      <sharedItems containsSemiMixedTypes="0" containsString="0" containsNumber="1" containsInteger="1" minValue="0" maxValue="0"/>
    </cacheField>
    <cacheField name="compid2" numFmtId="0">
      <sharedItems containsString="0" containsBlank="1" containsNumber="1" containsInteger="1" minValue="0" maxValue="0"/>
    </cacheField>
    <cacheField name="compid3" numFmtId="0">
      <sharedItems containsString="0" containsBlank="1" containsNumber="1" containsInteger="1" minValue="0" maxValue="0"/>
    </cacheField>
    <cacheField name="compid4"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8">
  <r>
    <n v="0"/>
    <n v="1"/>
    <x v="0"/>
    <x v="0"/>
    <n v="0"/>
    <m/>
    <m/>
    <m/>
  </r>
  <r>
    <n v="0"/>
    <n v="1"/>
    <x v="1"/>
    <x v="1"/>
    <n v="0"/>
    <m/>
    <m/>
    <m/>
  </r>
  <r>
    <n v="0"/>
    <n v="1"/>
    <x v="2"/>
    <x v="2"/>
    <n v="0"/>
    <m/>
    <m/>
    <m/>
  </r>
  <r>
    <n v="0"/>
    <n v="2"/>
    <x v="2"/>
    <x v="2"/>
    <n v="0"/>
    <m/>
    <m/>
    <m/>
  </r>
  <r>
    <n v="0"/>
    <n v="3"/>
    <x v="2"/>
    <x v="2"/>
    <n v="0"/>
    <m/>
    <m/>
    <m/>
  </r>
  <r>
    <n v="0"/>
    <n v="4"/>
    <x v="2"/>
    <x v="2"/>
    <n v="0"/>
    <m/>
    <m/>
    <m/>
  </r>
  <r>
    <n v="0"/>
    <n v="5"/>
    <x v="2"/>
    <x v="2"/>
    <n v="0"/>
    <m/>
    <m/>
    <m/>
  </r>
  <r>
    <n v="0"/>
    <n v="6"/>
    <x v="2"/>
    <x v="2"/>
    <n v="0"/>
    <m/>
    <m/>
    <m/>
  </r>
  <r>
    <n v="0"/>
    <n v="7"/>
    <x v="2"/>
    <x v="2"/>
    <n v="0"/>
    <m/>
    <m/>
    <m/>
  </r>
  <r>
    <n v="0"/>
    <n v="8"/>
    <x v="2"/>
    <x v="2"/>
    <n v="0"/>
    <m/>
    <m/>
    <m/>
  </r>
  <r>
    <n v="0"/>
    <n v="1"/>
    <x v="2"/>
    <x v="3"/>
    <n v="0"/>
    <m/>
    <m/>
    <m/>
  </r>
  <r>
    <n v="0"/>
    <n v="2"/>
    <x v="2"/>
    <x v="3"/>
    <n v="0"/>
    <m/>
    <m/>
    <m/>
  </r>
  <r>
    <n v="0"/>
    <n v="3"/>
    <x v="2"/>
    <x v="3"/>
    <n v="0"/>
    <m/>
    <m/>
    <m/>
  </r>
  <r>
    <n v="0"/>
    <n v="4"/>
    <x v="2"/>
    <x v="3"/>
    <n v="0"/>
    <m/>
    <m/>
    <m/>
  </r>
  <r>
    <n v="0"/>
    <n v="5"/>
    <x v="2"/>
    <x v="3"/>
    <n v="0"/>
    <m/>
    <m/>
    <m/>
  </r>
  <r>
    <n v="0"/>
    <n v="6"/>
    <x v="2"/>
    <x v="3"/>
    <n v="0"/>
    <m/>
    <m/>
    <m/>
  </r>
  <r>
    <n v="0"/>
    <n v="7"/>
    <x v="2"/>
    <x v="3"/>
    <n v="0"/>
    <m/>
    <m/>
    <m/>
  </r>
  <r>
    <n v="0"/>
    <n v="8"/>
    <x v="2"/>
    <x v="3"/>
    <n v="0"/>
    <m/>
    <m/>
    <m/>
  </r>
  <r>
    <n v="0"/>
    <n v="1"/>
    <x v="2"/>
    <x v="4"/>
    <n v="0"/>
    <m/>
    <m/>
    <m/>
  </r>
  <r>
    <n v="0"/>
    <n v="2"/>
    <x v="2"/>
    <x v="4"/>
    <n v="0"/>
    <m/>
    <m/>
    <m/>
  </r>
  <r>
    <n v="0"/>
    <n v="3"/>
    <x v="2"/>
    <x v="4"/>
    <n v="0"/>
    <m/>
    <m/>
    <m/>
  </r>
  <r>
    <n v="0"/>
    <n v="4"/>
    <x v="2"/>
    <x v="4"/>
    <n v="0"/>
    <m/>
    <m/>
    <m/>
  </r>
  <r>
    <n v="0"/>
    <n v="5"/>
    <x v="2"/>
    <x v="4"/>
    <n v="0"/>
    <m/>
    <m/>
    <m/>
  </r>
  <r>
    <n v="0"/>
    <n v="6"/>
    <x v="2"/>
    <x v="4"/>
    <n v="0"/>
    <m/>
    <m/>
    <m/>
  </r>
  <r>
    <n v="0"/>
    <n v="7"/>
    <x v="2"/>
    <x v="4"/>
    <n v="0"/>
    <m/>
    <m/>
    <m/>
  </r>
  <r>
    <n v="0"/>
    <n v="8"/>
    <x v="2"/>
    <x v="4"/>
    <n v="0"/>
    <m/>
    <m/>
    <m/>
  </r>
  <r>
    <n v="0"/>
    <n v="1"/>
    <x v="2"/>
    <x v="5"/>
    <n v="0"/>
    <m/>
    <m/>
    <m/>
  </r>
  <r>
    <n v="0"/>
    <n v="2"/>
    <x v="2"/>
    <x v="5"/>
    <n v="0"/>
    <m/>
    <m/>
    <m/>
  </r>
  <r>
    <n v="0"/>
    <n v="3"/>
    <x v="2"/>
    <x v="5"/>
    <n v="0"/>
    <m/>
    <m/>
    <m/>
  </r>
  <r>
    <n v="0"/>
    <n v="4"/>
    <x v="2"/>
    <x v="5"/>
    <n v="0"/>
    <m/>
    <m/>
    <m/>
  </r>
  <r>
    <n v="0"/>
    <n v="5"/>
    <x v="2"/>
    <x v="5"/>
    <n v="0"/>
    <m/>
    <m/>
    <m/>
  </r>
  <r>
    <n v="0"/>
    <n v="6"/>
    <x v="2"/>
    <x v="5"/>
    <n v="0"/>
    <m/>
    <m/>
    <m/>
  </r>
  <r>
    <n v="0"/>
    <n v="7"/>
    <x v="2"/>
    <x v="5"/>
    <n v="0"/>
    <m/>
    <m/>
    <m/>
  </r>
  <r>
    <n v="0"/>
    <n v="8"/>
    <x v="2"/>
    <x v="5"/>
    <n v="0"/>
    <m/>
    <m/>
    <m/>
  </r>
  <r>
    <n v="0"/>
    <n v="1"/>
    <x v="2"/>
    <x v="6"/>
    <n v="0"/>
    <m/>
    <m/>
    <m/>
  </r>
  <r>
    <n v="0"/>
    <n v="2"/>
    <x v="2"/>
    <x v="6"/>
    <n v="0"/>
    <m/>
    <m/>
    <m/>
  </r>
  <r>
    <n v="0"/>
    <n v="3"/>
    <x v="2"/>
    <x v="6"/>
    <n v="0"/>
    <m/>
    <m/>
    <m/>
  </r>
  <r>
    <n v="0"/>
    <n v="4"/>
    <x v="2"/>
    <x v="6"/>
    <n v="0"/>
    <m/>
    <m/>
    <m/>
  </r>
  <r>
    <n v="0"/>
    <n v="5"/>
    <x v="2"/>
    <x v="6"/>
    <n v="0"/>
    <m/>
    <m/>
    <m/>
  </r>
  <r>
    <n v="0"/>
    <n v="6"/>
    <x v="2"/>
    <x v="6"/>
    <n v="0"/>
    <m/>
    <m/>
    <m/>
  </r>
  <r>
    <n v="0"/>
    <n v="7"/>
    <x v="2"/>
    <x v="6"/>
    <n v="0"/>
    <m/>
    <m/>
    <m/>
  </r>
  <r>
    <n v="0"/>
    <n v="8"/>
    <x v="2"/>
    <x v="6"/>
    <n v="0"/>
    <m/>
    <m/>
    <m/>
  </r>
  <r>
    <n v="0"/>
    <n v="1"/>
    <x v="2"/>
    <x v="7"/>
    <n v="0"/>
    <m/>
    <m/>
    <m/>
  </r>
  <r>
    <n v="0"/>
    <n v="2"/>
    <x v="2"/>
    <x v="7"/>
    <n v="0"/>
    <m/>
    <m/>
    <m/>
  </r>
  <r>
    <n v="0"/>
    <n v="3"/>
    <x v="2"/>
    <x v="7"/>
    <n v="0"/>
    <m/>
    <m/>
    <m/>
  </r>
  <r>
    <n v="0"/>
    <n v="4"/>
    <x v="2"/>
    <x v="7"/>
    <n v="0"/>
    <m/>
    <m/>
    <m/>
  </r>
  <r>
    <n v="0"/>
    <n v="5"/>
    <x v="2"/>
    <x v="7"/>
    <n v="0"/>
    <m/>
    <m/>
    <m/>
  </r>
  <r>
    <n v="0"/>
    <n v="6"/>
    <x v="2"/>
    <x v="7"/>
    <n v="0"/>
    <m/>
    <m/>
    <m/>
  </r>
  <r>
    <n v="0"/>
    <n v="7"/>
    <x v="2"/>
    <x v="7"/>
    <n v="0"/>
    <m/>
    <m/>
    <m/>
  </r>
  <r>
    <n v="0"/>
    <n v="8"/>
    <x v="2"/>
    <x v="7"/>
    <n v="0"/>
    <m/>
    <m/>
    <m/>
  </r>
  <r>
    <n v="0"/>
    <n v="1"/>
    <x v="2"/>
    <x v="8"/>
    <n v="0"/>
    <m/>
    <m/>
    <m/>
  </r>
  <r>
    <n v="0"/>
    <n v="2"/>
    <x v="2"/>
    <x v="8"/>
    <n v="0"/>
    <m/>
    <m/>
    <m/>
  </r>
  <r>
    <n v="0"/>
    <n v="3"/>
    <x v="2"/>
    <x v="8"/>
    <n v="0"/>
    <m/>
    <m/>
    <m/>
  </r>
  <r>
    <n v="0"/>
    <n v="4"/>
    <x v="2"/>
    <x v="8"/>
    <n v="0"/>
    <m/>
    <m/>
    <m/>
  </r>
  <r>
    <n v="0"/>
    <n v="5"/>
    <x v="2"/>
    <x v="8"/>
    <n v="0"/>
    <m/>
    <m/>
    <m/>
  </r>
  <r>
    <n v="0"/>
    <n v="6"/>
    <x v="2"/>
    <x v="8"/>
    <n v="0"/>
    <m/>
    <m/>
    <m/>
  </r>
  <r>
    <n v="0"/>
    <n v="7"/>
    <x v="2"/>
    <x v="8"/>
    <n v="0"/>
    <m/>
    <m/>
    <m/>
  </r>
  <r>
    <n v="0"/>
    <n v="8"/>
    <x v="2"/>
    <x v="8"/>
    <n v="0"/>
    <m/>
    <m/>
    <m/>
  </r>
  <r>
    <n v="0"/>
    <n v="1"/>
    <x v="3"/>
    <x v="2"/>
    <n v="0"/>
    <m/>
    <m/>
    <m/>
  </r>
  <r>
    <n v="0"/>
    <n v="2"/>
    <x v="3"/>
    <x v="2"/>
    <n v="0"/>
    <m/>
    <m/>
    <m/>
  </r>
  <r>
    <n v="0"/>
    <n v="3"/>
    <x v="3"/>
    <x v="2"/>
    <n v="0"/>
    <m/>
    <m/>
    <m/>
  </r>
  <r>
    <n v="0"/>
    <n v="4"/>
    <x v="3"/>
    <x v="2"/>
    <n v="0"/>
    <m/>
    <m/>
    <m/>
  </r>
  <r>
    <n v="0"/>
    <n v="5"/>
    <x v="3"/>
    <x v="2"/>
    <n v="0"/>
    <m/>
    <m/>
    <m/>
  </r>
  <r>
    <n v="0"/>
    <n v="6"/>
    <x v="3"/>
    <x v="2"/>
    <n v="0"/>
    <m/>
    <m/>
    <m/>
  </r>
  <r>
    <n v="0"/>
    <n v="7"/>
    <x v="3"/>
    <x v="2"/>
    <n v="0"/>
    <m/>
    <m/>
    <m/>
  </r>
  <r>
    <n v="0"/>
    <n v="8"/>
    <x v="3"/>
    <x v="2"/>
    <n v="0"/>
    <m/>
    <m/>
    <m/>
  </r>
  <r>
    <n v="0"/>
    <n v="9"/>
    <x v="3"/>
    <x v="2"/>
    <n v="0"/>
    <m/>
    <m/>
    <m/>
  </r>
  <r>
    <n v="0"/>
    <n v="10"/>
    <x v="3"/>
    <x v="2"/>
    <n v="0"/>
    <m/>
    <m/>
    <m/>
  </r>
  <r>
    <n v="0"/>
    <n v="1"/>
    <x v="3"/>
    <x v="9"/>
    <n v="0"/>
    <m/>
    <m/>
    <m/>
  </r>
  <r>
    <n v="0"/>
    <n v="2"/>
    <x v="3"/>
    <x v="9"/>
    <n v="0"/>
    <m/>
    <m/>
    <m/>
  </r>
  <r>
    <n v="0"/>
    <n v="3"/>
    <x v="3"/>
    <x v="9"/>
    <n v="0"/>
    <m/>
    <m/>
    <m/>
  </r>
  <r>
    <n v="0"/>
    <n v="4"/>
    <x v="3"/>
    <x v="9"/>
    <n v="0"/>
    <m/>
    <m/>
    <m/>
  </r>
  <r>
    <n v="0"/>
    <n v="5"/>
    <x v="3"/>
    <x v="9"/>
    <n v="0"/>
    <m/>
    <m/>
    <m/>
  </r>
  <r>
    <n v="0"/>
    <n v="6"/>
    <x v="3"/>
    <x v="9"/>
    <n v="0"/>
    <m/>
    <m/>
    <m/>
  </r>
  <r>
    <n v="0"/>
    <n v="7"/>
    <x v="3"/>
    <x v="9"/>
    <n v="0"/>
    <m/>
    <m/>
    <m/>
  </r>
  <r>
    <n v="0"/>
    <n v="8"/>
    <x v="3"/>
    <x v="9"/>
    <n v="0"/>
    <m/>
    <m/>
    <m/>
  </r>
  <r>
    <n v="0"/>
    <n v="9"/>
    <x v="3"/>
    <x v="9"/>
    <n v="0"/>
    <m/>
    <m/>
    <m/>
  </r>
  <r>
    <n v="0"/>
    <n v="10"/>
    <x v="3"/>
    <x v="9"/>
    <n v="0"/>
    <m/>
    <m/>
    <m/>
  </r>
  <r>
    <n v="0"/>
    <n v="11"/>
    <x v="3"/>
    <x v="9"/>
    <n v="0"/>
    <m/>
    <m/>
    <m/>
  </r>
  <r>
    <n v="0"/>
    <n v="12"/>
    <x v="3"/>
    <x v="9"/>
    <n v="0"/>
    <m/>
    <m/>
    <m/>
  </r>
  <r>
    <n v="0"/>
    <n v="13"/>
    <x v="3"/>
    <x v="9"/>
    <n v="0"/>
    <m/>
    <m/>
    <m/>
  </r>
  <r>
    <n v="0"/>
    <n v="14"/>
    <x v="3"/>
    <x v="9"/>
    <n v="0"/>
    <m/>
    <m/>
    <m/>
  </r>
  <r>
    <n v="0"/>
    <n v="15"/>
    <x v="3"/>
    <x v="9"/>
    <n v="0"/>
    <m/>
    <m/>
    <m/>
  </r>
  <r>
    <n v="0"/>
    <n v="16"/>
    <x v="3"/>
    <x v="9"/>
    <n v="0"/>
    <m/>
    <m/>
    <m/>
  </r>
  <r>
    <n v="0"/>
    <n v="17"/>
    <x v="3"/>
    <x v="9"/>
    <n v="0"/>
    <m/>
    <m/>
    <m/>
  </r>
  <r>
    <n v="0"/>
    <n v="18"/>
    <x v="3"/>
    <x v="9"/>
    <n v="0"/>
    <m/>
    <m/>
    <m/>
  </r>
  <r>
    <n v="0"/>
    <n v="19"/>
    <x v="3"/>
    <x v="9"/>
    <n v="0"/>
    <m/>
    <m/>
    <m/>
  </r>
  <r>
    <n v="0"/>
    <n v="20"/>
    <x v="3"/>
    <x v="9"/>
    <n v="0"/>
    <m/>
    <m/>
    <m/>
  </r>
  <r>
    <n v="0"/>
    <n v="1"/>
    <x v="3"/>
    <x v="10"/>
    <n v="0"/>
    <m/>
    <m/>
    <m/>
  </r>
  <r>
    <n v="0"/>
    <n v="2"/>
    <x v="3"/>
    <x v="10"/>
    <n v="0"/>
    <m/>
    <m/>
    <m/>
  </r>
  <r>
    <n v="0"/>
    <n v="3"/>
    <x v="3"/>
    <x v="10"/>
    <n v="0"/>
    <m/>
    <m/>
    <m/>
  </r>
  <r>
    <n v="0"/>
    <n v="4"/>
    <x v="3"/>
    <x v="10"/>
    <n v="0"/>
    <m/>
    <m/>
    <m/>
  </r>
  <r>
    <n v="0"/>
    <n v="5"/>
    <x v="3"/>
    <x v="10"/>
    <n v="0"/>
    <m/>
    <m/>
    <m/>
  </r>
  <r>
    <n v="0"/>
    <n v="6"/>
    <x v="3"/>
    <x v="10"/>
    <n v="0"/>
    <m/>
    <m/>
    <m/>
  </r>
  <r>
    <n v="0"/>
    <n v="7"/>
    <x v="3"/>
    <x v="10"/>
    <n v="0"/>
    <m/>
    <m/>
    <m/>
  </r>
  <r>
    <n v="0"/>
    <n v="8"/>
    <x v="3"/>
    <x v="10"/>
    <n v="0"/>
    <m/>
    <m/>
    <m/>
  </r>
  <r>
    <n v="0"/>
    <n v="9"/>
    <x v="3"/>
    <x v="10"/>
    <n v="0"/>
    <m/>
    <m/>
    <m/>
  </r>
  <r>
    <n v="0"/>
    <n v="10"/>
    <x v="3"/>
    <x v="10"/>
    <n v="0"/>
    <m/>
    <m/>
    <m/>
  </r>
  <r>
    <n v="0"/>
    <n v="11"/>
    <x v="3"/>
    <x v="10"/>
    <n v="0"/>
    <m/>
    <m/>
    <m/>
  </r>
  <r>
    <n v="0"/>
    <n v="12"/>
    <x v="3"/>
    <x v="10"/>
    <n v="0"/>
    <m/>
    <m/>
    <m/>
  </r>
  <r>
    <n v="0"/>
    <n v="13"/>
    <x v="3"/>
    <x v="10"/>
    <n v="0"/>
    <m/>
    <m/>
    <m/>
  </r>
  <r>
    <n v="0"/>
    <n v="14"/>
    <x v="3"/>
    <x v="10"/>
    <n v="0"/>
    <m/>
    <m/>
    <m/>
  </r>
  <r>
    <n v="0"/>
    <n v="15"/>
    <x v="3"/>
    <x v="10"/>
    <n v="0"/>
    <m/>
    <m/>
    <m/>
  </r>
  <r>
    <n v="0"/>
    <n v="16"/>
    <x v="3"/>
    <x v="10"/>
    <n v="0"/>
    <m/>
    <m/>
    <m/>
  </r>
  <r>
    <n v="0"/>
    <n v="17"/>
    <x v="3"/>
    <x v="10"/>
    <n v="0"/>
    <m/>
    <m/>
    <m/>
  </r>
  <r>
    <n v="0"/>
    <n v="18"/>
    <x v="3"/>
    <x v="10"/>
    <n v="0"/>
    <m/>
    <m/>
    <m/>
  </r>
  <r>
    <n v="0"/>
    <n v="19"/>
    <x v="3"/>
    <x v="10"/>
    <n v="0"/>
    <m/>
    <m/>
    <m/>
  </r>
  <r>
    <n v="0"/>
    <n v="20"/>
    <x v="3"/>
    <x v="10"/>
    <n v="0"/>
    <m/>
    <m/>
    <m/>
  </r>
  <r>
    <n v="0"/>
    <n v="1"/>
    <x v="3"/>
    <x v="11"/>
    <n v="0"/>
    <m/>
    <m/>
    <m/>
  </r>
  <r>
    <n v="0"/>
    <n v="2"/>
    <x v="3"/>
    <x v="11"/>
    <n v="0"/>
    <m/>
    <m/>
    <m/>
  </r>
  <r>
    <n v="0"/>
    <n v="3"/>
    <x v="3"/>
    <x v="11"/>
    <n v="0"/>
    <m/>
    <m/>
    <m/>
  </r>
  <r>
    <n v="0"/>
    <n v="4"/>
    <x v="3"/>
    <x v="11"/>
    <n v="0"/>
    <m/>
    <m/>
    <m/>
  </r>
  <r>
    <n v="0"/>
    <n v="5"/>
    <x v="3"/>
    <x v="11"/>
    <n v="0"/>
    <m/>
    <m/>
    <m/>
  </r>
  <r>
    <n v="0"/>
    <n v="6"/>
    <x v="3"/>
    <x v="11"/>
    <n v="0"/>
    <m/>
    <m/>
    <m/>
  </r>
  <r>
    <n v="0"/>
    <n v="7"/>
    <x v="3"/>
    <x v="11"/>
    <n v="0"/>
    <m/>
    <m/>
    <m/>
  </r>
  <r>
    <n v="0"/>
    <n v="8"/>
    <x v="3"/>
    <x v="11"/>
    <n v="0"/>
    <m/>
    <m/>
    <m/>
  </r>
  <r>
    <n v="0"/>
    <n v="9"/>
    <x v="3"/>
    <x v="11"/>
    <n v="0"/>
    <m/>
    <m/>
    <m/>
  </r>
  <r>
    <n v="0"/>
    <n v="10"/>
    <x v="3"/>
    <x v="11"/>
    <n v="0"/>
    <m/>
    <m/>
    <m/>
  </r>
  <r>
    <n v="0"/>
    <n v="11"/>
    <x v="3"/>
    <x v="11"/>
    <n v="0"/>
    <m/>
    <m/>
    <m/>
  </r>
  <r>
    <n v="0"/>
    <n v="12"/>
    <x v="3"/>
    <x v="11"/>
    <n v="0"/>
    <m/>
    <m/>
    <m/>
  </r>
  <r>
    <n v="0"/>
    <n v="13"/>
    <x v="3"/>
    <x v="11"/>
    <n v="0"/>
    <m/>
    <m/>
    <m/>
  </r>
  <r>
    <n v="0"/>
    <n v="14"/>
    <x v="3"/>
    <x v="11"/>
    <n v="0"/>
    <m/>
    <m/>
    <m/>
  </r>
  <r>
    <n v="0"/>
    <n v="15"/>
    <x v="3"/>
    <x v="11"/>
    <n v="0"/>
    <m/>
    <m/>
    <m/>
  </r>
  <r>
    <n v="0"/>
    <n v="16"/>
    <x v="3"/>
    <x v="11"/>
    <n v="0"/>
    <m/>
    <m/>
    <m/>
  </r>
  <r>
    <n v="0"/>
    <n v="17"/>
    <x v="3"/>
    <x v="11"/>
    <n v="0"/>
    <m/>
    <m/>
    <m/>
  </r>
  <r>
    <n v="0"/>
    <n v="18"/>
    <x v="3"/>
    <x v="11"/>
    <n v="0"/>
    <m/>
    <m/>
    <m/>
  </r>
  <r>
    <n v="0"/>
    <n v="19"/>
    <x v="3"/>
    <x v="11"/>
    <n v="0"/>
    <m/>
    <m/>
    <m/>
  </r>
  <r>
    <n v="0"/>
    <n v="20"/>
    <x v="3"/>
    <x v="11"/>
    <n v="0"/>
    <m/>
    <m/>
    <m/>
  </r>
  <r>
    <n v="0"/>
    <n v="1"/>
    <x v="3"/>
    <x v="12"/>
    <n v="0"/>
    <m/>
    <m/>
    <m/>
  </r>
  <r>
    <n v="0"/>
    <n v="2"/>
    <x v="3"/>
    <x v="12"/>
    <n v="0"/>
    <m/>
    <m/>
    <m/>
  </r>
  <r>
    <n v="0"/>
    <n v="3"/>
    <x v="3"/>
    <x v="12"/>
    <n v="0"/>
    <m/>
    <m/>
    <m/>
  </r>
  <r>
    <n v="0"/>
    <n v="4"/>
    <x v="3"/>
    <x v="12"/>
    <n v="0"/>
    <m/>
    <m/>
    <m/>
  </r>
  <r>
    <n v="0"/>
    <n v="5"/>
    <x v="3"/>
    <x v="12"/>
    <n v="0"/>
    <m/>
    <m/>
    <m/>
  </r>
  <r>
    <n v="0"/>
    <n v="6"/>
    <x v="3"/>
    <x v="12"/>
    <n v="0"/>
    <m/>
    <m/>
    <m/>
  </r>
  <r>
    <n v="0"/>
    <n v="7"/>
    <x v="3"/>
    <x v="12"/>
    <n v="0"/>
    <m/>
    <m/>
    <m/>
  </r>
  <r>
    <n v="0"/>
    <n v="8"/>
    <x v="3"/>
    <x v="12"/>
    <n v="0"/>
    <m/>
    <m/>
    <m/>
  </r>
  <r>
    <n v="0"/>
    <n v="9"/>
    <x v="3"/>
    <x v="12"/>
    <n v="0"/>
    <m/>
    <m/>
    <m/>
  </r>
  <r>
    <n v="0"/>
    <n v="10"/>
    <x v="3"/>
    <x v="12"/>
    <n v="0"/>
    <m/>
    <m/>
    <m/>
  </r>
  <r>
    <n v="0"/>
    <n v="11"/>
    <x v="3"/>
    <x v="12"/>
    <n v="0"/>
    <m/>
    <m/>
    <m/>
  </r>
  <r>
    <n v="0"/>
    <n v="12"/>
    <x v="3"/>
    <x v="12"/>
    <n v="0"/>
    <m/>
    <m/>
    <m/>
  </r>
  <r>
    <n v="0"/>
    <n v="13"/>
    <x v="3"/>
    <x v="12"/>
    <n v="0"/>
    <m/>
    <m/>
    <m/>
  </r>
  <r>
    <n v="0"/>
    <n v="14"/>
    <x v="3"/>
    <x v="12"/>
    <n v="0"/>
    <m/>
    <m/>
    <m/>
  </r>
  <r>
    <n v="0"/>
    <n v="15"/>
    <x v="3"/>
    <x v="12"/>
    <n v="0"/>
    <m/>
    <m/>
    <m/>
  </r>
  <r>
    <n v="0"/>
    <n v="16"/>
    <x v="3"/>
    <x v="12"/>
    <n v="0"/>
    <m/>
    <m/>
    <m/>
  </r>
  <r>
    <n v="0"/>
    <n v="17"/>
    <x v="3"/>
    <x v="12"/>
    <n v="0"/>
    <m/>
    <m/>
    <m/>
  </r>
  <r>
    <n v="0"/>
    <n v="18"/>
    <x v="3"/>
    <x v="12"/>
    <n v="0"/>
    <m/>
    <m/>
    <m/>
  </r>
  <r>
    <n v="0"/>
    <n v="19"/>
    <x v="3"/>
    <x v="12"/>
    <n v="0"/>
    <m/>
    <m/>
    <m/>
  </r>
  <r>
    <n v="0"/>
    <n v="20"/>
    <x v="3"/>
    <x v="12"/>
    <n v="0"/>
    <m/>
    <m/>
    <m/>
  </r>
  <r>
    <n v="0"/>
    <n v="1"/>
    <x v="3"/>
    <x v="13"/>
    <n v="0"/>
    <m/>
    <m/>
    <m/>
  </r>
  <r>
    <n v="0"/>
    <n v="2"/>
    <x v="3"/>
    <x v="13"/>
    <n v="0"/>
    <m/>
    <m/>
    <m/>
  </r>
  <r>
    <n v="0"/>
    <n v="3"/>
    <x v="3"/>
    <x v="13"/>
    <n v="0"/>
    <m/>
    <m/>
    <m/>
  </r>
  <r>
    <n v="0"/>
    <n v="4"/>
    <x v="3"/>
    <x v="13"/>
    <n v="0"/>
    <m/>
    <m/>
    <m/>
  </r>
  <r>
    <n v="0"/>
    <n v="5"/>
    <x v="3"/>
    <x v="13"/>
    <n v="0"/>
    <m/>
    <m/>
    <m/>
  </r>
  <r>
    <n v="0"/>
    <n v="6"/>
    <x v="3"/>
    <x v="13"/>
    <n v="0"/>
    <m/>
    <m/>
    <m/>
  </r>
  <r>
    <n v="0"/>
    <n v="7"/>
    <x v="3"/>
    <x v="13"/>
    <n v="0"/>
    <m/>
    <m/>
    <m/>
  </r>
  <r>
    <n v="0"/>
    <n v="8"/>
    <x v="3"/>
    <x v="13"/>
    <n v="0"/>
    <m/>
    <m/>
    <m/>
  </r>
  <r>
    <n v="0"/>
    <n v="9"/>
    <x v="3"/>
    <x v="13"/>
    <n v="0"/>
    <m/>
    <m/>
    <m/>
  </r>
  <r>
    <n v="0"/>
    <n v="10"/>
    <x v="3"/>
    <x v="13"/>
    <n v="0"/>
    <m/>
    <m/>
    <m/>
  </r>
  <r>
    <n v="0"/>
    <n v="1"/>
    <x v="3"/>
    <x v="14"/>
    <n v="0"/>
    <m/>
    <m/>
    <m/>
  </r>
  <r>
    <n v="0"/>
    <n v="2"/>
    <x v="3"/>
    <x v="14"/>
    <n v="0"/>
    <m/>
    <m/>
    <m/>
  </r>
  <r>
    <n v="0"/>
    <n v="3"/>
    <x v="3"/>
    <x v="14"/>
    <n v="0"/>
    <m/>
    <m/>
    <m/>
  </r>
  <r>
    <n v="0"/>
    <n v="4"/>
    <x v="3"/>
    <x v="14"/>
    <n v="0"/>
    <m/>
    <m/>
    <m/>
  </r>
  <r>
    <n v="0"/>
    <n v="5"/>
    <x v="3"/>
    <x v="14"/>
    <n v="0"/>
    <m/>
    <m/>
    <m/>
  </r>
  <r>
    <n v="0"/>
    <n v="6"/>
    <x v="3"/>
    <x v="14"/>
    <n v="0"/>
    <m/>
    <m/>
    <m/>
  </r>
  <r>
    <n v="0"/>
    <n v="7"/>
    <x v="3"/>
    <x v="14"/>
    <n v="0"/>
    <m/>
    <m/>
    <m/>
  </r>
  <r>
    <n v="0"/>
    <n v="8"/>
    <x v="3"/>
    <x v="14"/>
    <n v="0"/>
    <m/>
    <m/>
    <m/>
  </r>
  <r>
    <n v="0"/>
    <n v="9"/>
    <x v="3"/>
    <x v="14"/>
    <n v="0"/>
    <m/>
    <m/>
    <m/>
  </r>
  <r>
    <n v="0"/>
    <n v="10"/>
    <x v="3"/>
    <x v="14"/>
    <n v="0"/>
    <m/>
    <m/>
    <m/>
  </r>
  <r>
    <n v="0"/>
    <n v="11"/>
    <x v="3"/>
    <x v="14"/>
    <n v="0"/>
    <m/>
    <m/>
    <m/>
  </r>
  <r>
    <n v="0"/>
    <n v="12"/>
    <x v="3"/>
    <x v="14"/>
    <n v="0"/>
    <m/>
    <m/>
    <m/>
  </r>
  <r>
    <n v="0"/>
    <n v="13"/>
    <x v="3"/>
    <x v="14"/>
    <n v="0"/>
    <m/>
    <m/>
    <m/>
  </r>
  <r>
    <n v="0"/>
    <n v="14"/>
    <x v="3"/>
    <x v="14"/>
    <n v="0"/>
    <m/>
    <m/>
    <m/>
  </r>
  <r>
    <n v="0"/>
    <n v="15"/>
    <x v="3"/>
    <x v="14"/>
    <n v="0"/>
    <m/>
    <m/>
    <m/>
  </r>
  <r>
    <n v="0"/>
    <n v="16"/>
    <x v="3"/>
    <x v="14"/>
    <n v="0"/>
    <m/>
    <m/>
    <m/>
  </r>
  <r>
    <n v="0"/>
    <n v="17"/>
    <x v="3"/>
    <x v="14"/>
    <n v="0"/>
    <m/>
    <m/>
    <m/>
  </r>
  <r>
    <n v="0"/>
    <n v="18"/>
    <x v="3"/>
    <x v="14"/>
    <n v="0"/>
    <m/>
    <m/>
    <m/>
  </r>
  <r>
    <n v="0"/>
    <n v="19"/>
    <x v="3"/>
    <x v="14"/>
    <n v="0"/>
    <m/>
    <m/>
    <m/>
  </r>
  <r>
    <n v="0"/>
    <n v="20"/>
    <x v="3"/>
    <x v="14"/>
    <n v="0"/>
    <m/>
    <m/>
    <m/>
  </r>
  <r>
    <n v="0"/>
    <n v="1"/>
    <x v="3"/>
    <x v="15"/>
    <n v="0"/>
    <m/>
    <m/>
    <m/>
  </r>
  <r>
    <n v="0"/>
    <n v="2"/>
    <x v="3"/>
    <x v="15"/>
    <n v="0"/>
    <m/>
    <m/>
    <m/>
  </r>
  <r>
    <n v="0"/>
    <n v="3"/>
    <x v="3"/>
    <x v="15"/>
    <n v="0"/>
    <m/>
    <m/>
    <m/>
  </r>
  <r>
    <n v="0"/>
    <n v="4"/>
    <x v="3"/>
    <x v="15"/>
    <n v="0"/>
    <m/>
    <m/>
    <m/>
  </r>
  <r>
    <n v="0"/>
    <n v="5"/>
    <x v="3"/>
    <x v="15"/>
    <n v="0"/>
    <m/>
    <m/>
    <m/>
  </r>
  <r>
    <n v="0"/>
    <n v="6"/>
    <x v="3"/>
    <x v="15"/>
    <n v="0"/>
    <m/>
    <m/>
    <m/>
  </r>
  <r>
    <n v="0"/>
    <n v="7"/>
    <x v="3"/>
    <x v="15"/>
    <n v="0"/>
    <m/>
    <m/>
    <m/>
  </r>
  <r>
    <n v="0"/>
    <n v="8"/>
    <x v="3"/>
    <x v="15"/>
    <n v="0"/>
    <m/>
    <m/>
    <m/>
  </r>
  <r>
    <n v="0"/>
    <n v="9"/>
    <x v="3"/>
    <x v="15"/>
    <n v="0"/>
    <m/>
    <m/>
    <m/>
  </r>
  <r>
    <n v="0"/>
    <n v="10"/>
    <x v="3"/>
    <x v="15"/>
    <n v="0"/>
    <m/>
    <m/>
    <m/>
  </r>
  <r>
    <n v="0"/>
    <n v="11"/>
    <x v="3"/>
    <x v="15"/>
    <n v="0"/>
    <m/>
    <m/>
    <m/>
  </r>
  <r>
    <n v="0"/>
    <n v="12"/>
    <x v="3"/>
    <x v="15"/>
    <n v="0"/>
    <m/>
    <m/>
    <m/>
  </r>
  <r>
    <n v="0"/>
    <n v="13"/>
    <x v="3"/>
    <x v="15"/>
    <n v="0"/>
    <m/>
    <m/>
    <m/>
  </r>
  <r>
    <n v="0"/>
    <n v="14"/>
    <x v="3"/>
    <x v="15"/>
    <n v="0"/>
    <m/>
    <m/>
    <m/>
  </r>
  <r>
    <n v="0"/>
    <n v="15"/>
    <x v="3"/>
    <x v="15"/>
    <n v="0"/>
    <m/>
    <m/>
    <m/>
  </r>
  <r>
    <n v="0"/>
    <n v="16"/>
    <x v="3"/>
    <x v="15"/>
    <n v="0"/>
    <m/>
    <m/>
    <m/>
  </r>
  <r>
    <n v="0"/>
    <n v="17"/>
    <x v="3"/>
    <x v="15"/>
    <n v="0"/>
    <m/>
    <m/>
    <m/>
  </r>
  <r>
    <n v="0"/>
    <n v="18"/>
    <x v="3"/>
    <x v="15"/>
    <n v="0"/>
    <m/>
    <m/>
    <m/>
  </r>
  <r>
    <n v="0"/>
    <n v="19"/>
    <x v="3"/>
    <x v="15"/>
    <n v="0"/>
    <m/>
    <m/>
    <m/>
  </r>
  <r>
    <n v="0"/>
    <n v="20"/>
    <x v="3"/>
    <x v="15"/>
    <n v="0"/>
    <m/>
    <m/>
    <m/>
  </r>
  <r>
    <n v="0"/>
    <n v="1"/>
    <x v="3"/>
    <x v="6"/>
    <n v="0"/>
    <m/>
    <m/>
    <m/>
  </r>
  <r>
    <n v="0"/>
    <n v="2"/>
    <x v="3"/>
    <x v="6"/>
    <n v="0"/>
    <m/>
    <m/>
    <m/>
  </r>
  <r>
    <n v="0"/>
    <n v="3"/>
    <x v="3"/>
    <x v="6"/>
    <n v="0"/>
    <m/>
    <m/>
    <m/>
  </r>
  <r>
    <n v="0"/>
    <n v="4"/>
    <x v="3"/>
    <x v="6"/>
    <n v="0"/>
    <m/>
    <m/>
    <m/>
  </r>
  <r>
    <n v="0"/>
    <n v="5"/>
    <x v="3"/>
    <x v="6"/>
    <n v="0"/>
    <m/>
    <m/>
    <m/>
  </r>
  <r>
    <n v="0"/>
    <n v="6"/>
    <x v="3"/>
    <x v="6"/>
    <n v="0"/>
    <m/>
    <m/>
    <m/>
  </r>
  <r>
    <n v="0"/>
    <n v="7"/>
    <x v="3"/>
    <x v="6"/>
    <n v="0"/>
    <m/>
    <m/>
    <m/>
  </r>
  <r>
    <n v="0"/>
    <n v="8"/>
    <x v="3"/>
    <x v="6"/>
    <n v="0"/>
    <m/>
    <m/>
    <m/>
  </r>
  <r>
    <n v="0"/>
    <n v="9"/>
    <x v="3"/>
    <x v="6"/>
    <n v="0"/>
    <m/>
    <m/>
    <m/>
  </r>
  <r>
    <n v="0"/>
    <n v="10"/>
    <x v="3"/>
    <x v="6"/>
    <n v="0"/>
    <m/>
    <m/>
    <m/>
  </r>
  <r>
    <n v="0"/>
    <n v="11"/>
    <x v="3"/>
    <x v="6"/>
    <n v="0"/>
    <m/>
    <m/>
    <m/>
  </r>
  <r>
    <n v="0"/>
    <n v="12"/>
    <x v="3"/>
    <x v="6"/>
    <n v="0"/>
    <m/>
    <m/>
    <m/>
  </r>
  <r>
    <n v="0"/>
    <n v="13"/>
    <x v="3"/>
    <x v="6"/>
    <n v="0"/>
    <m/>
    <m/>
    <m/>
  </r>
  <r>
    <n v="0"/>
    <n v="14"/>
    <x v="3"/>
    <x v="6"/>
    <n v="0"/>
    <m/>
    <m/>
    <m/>
  </r>
  <r>
    <n v="0"/>
    <n v="15"/>
    <x v="3"/>
    <x v="6"/>
    <n v="0"/>
    <m/>
    <m/>
    <m/>
  </r>
  <r>
    <n v="0"/>
    <n v="16"/>
    <x v="3"/>
    <x v="6"/>
    <n v="0"/>
    <m/>
    <m/>
    <m/>
  </r>
  <r>
    <n v="0"/>
    <n v="17"/>
    <x v="3"/>
    <x v="6"/>
    <n v="0"/>
    <m/>
    <m/>
    <m/>
  </r>
  <r>
    <n v="0"/>
    <n v="18"/>
    <x v="3"/>
    <x v="6"/>
    <n v="0"/>
    <m/>
    <m/>
    <m/>
  </r>
  <r>
    <n v="0"/>
    <n v="19"/>
    <x v="3"/>
    <x v="6"/>
    <n v="0"/>
    <m/>
    <m/>
    <m/>
  </r>
  <r>
    <n v="0"/>
    <n v="20"/>
    <x v="3"/>
    <x v="6"/>
    <n v="0"/>
    <m/>
    <m/>
    <m/>
  </r>
  <r>
    <n v="0"/>
    <n v="1"/>
    <x v="3"/>
    <x v="8"/>
    <n v="0"/>
    <m/>
    <m/>
    <m/>
  </r>
  <r>
    <n v="0"/>
    <n v="2"/>
    <x v="3"/>
    <x v="8"/>
    <n v="0"/>
    <m/>
    <m/>
    <m/>
  </r>
  <r>
    <n v="0"/>
    <n v="3"/>
    <x v="3"/>
    <x v="8"/>
    <n v="0"/>
    <m/>
    <m/>
    <m/>
  </r>
  <r>
    <n v="0"/>
    <n v="4"/>
    <x v="3"/>
    <x v="8"/>
    <n v="0"/>
    <m/>
    <m/>
    <m/>
  </r>
  <r>
    <n v="0"/>
    <n v="5"/>
    <x v="3"/>
    <x v="8"/>
    <n v="0"/>
    <m/>
    <m/>
    <m/>
  </r>
  <r>
    <n v="0"/>
    <n v="6"/>
    <x v="3"/>
    <x v="8"/>
    <n v="0"/>
    <m/>
    <m/>
    <m/>
  </r>
  <r>
    <n v="0"/>
    <n v="7"/>
    <x v="3"/>
    <x v="8"/>
    <n v="0"/>
    <m/>
    <m/>
    <m/>
  </r>
  <r>
    <n v="0"/>
    <n v="8"/>
    <x v="3"/>
    <x v="8"/>
    <n v="0"/>
    <m/>
    <m/>
    <m/>
  </r>
  <r>
    <n v="0"/>
    <n v="9"/>
    <x v="3"/>
    <x v="8"/>
    <n v="0"/>
    <m/>
    <m/>
    <m/>
  </r>
  <r>
    <n v="0"/>
    <n v="10"/>
    <x v="3"/>
    <x v="8"/>
    <n v="0"/>
    <m/>
    <m/>
    <m/>
  </r>
  <r>
    <n v="0"/>
    <n v="11"/>
    <x v="3"/>
    <x v="8"/>
    <n v="0"/>
    <m/>
    <m/>
    <m/>
  </r>
  <r>
    <n v="0"/>
    <n v="12"/>
    <x v="3"/>
    <x v="8"/>
    <n v="0"/>
    <m/>
    <m/>
    <m/>
  </r>
  <r>
    <n v="0"/>
    <n v="13"/>
    <x v="3"/>
    <x v="8"/>
    <n v="0"/>
    <m/>
    <m/>
    <m/>
  </r>
  <r>
    <n v="0"/>
    <n v="14"/>
    <x v="3"/>
    <x v="8"/>
    <n v="0"/>
    <m/>
    <m/>
    <m/>
  </r>
  <r>
    <n v="0"/>
    <n v="15"/>
    <x v="3"/>
    <x v="8"/>
    <n v="0"/>
    <m/>
    <m/>
    <m/>
  </r>
  <r>
    <n v="0"/>
    <n v="16"/>
    <x v="3"/>
    <x v="8"/>
    <n v="0"/>
    <m/>
    <m/>
    <m/>
  </r>
  <r>
    <n v="0"/>
    <n v="17"/>
    <x v="3"/>
    <x v="8"/>
    <n v="0"/>
    <m/>
    <m/>
    <m/>
  </r>
  <r>
    <n v="0"/>
    <n v="18"/>
    <x v="3"/>
    <x v="8"/>
    <n v="0"/>
    <m/>
    <m/>
    <m/>
  </r>
  <r>
    <n v="0"/>
    <n v="19"/>
    <x v="3"/>
    <x v="8"/>
    <n v="0"/>
    <m/>
    <m/>
    <m/>
  </r>
  <r>
    <n v="0"/>
    <n v="20"/>
    <x v="3"/>
    <x v="8"/>
    <n v="0"/>
    <m/>
    <m/>
    <m/>
  </r>
  <r>
    <n v="0"/>
    <n v="1"/>
    <x v="4"/>
    <x v="1"/>
    <n v="0"/>
    <m/>
    <m/>
    <m/>
  </r>
  <r>
    <n v="0"/>
    <n v="2"/>
    <x v="4"/>
    <x v="1"/>
    <n v="0"/>
    <m/>
    <m/>
    <m/>
  </r>
  <r>
    <n v="0"/>
    <n v="3"/>
    <x v="4"/>
    <x v="1"/>
    <n v="0"/>
    <m/>
    <m/>
    <m/>
  </r>
  <r>
    <n v="0"/>
    <n v="4"/>
    <x v="4"/>
    <x v="1"/>
    <n v="0"/>
    <m/>
    <m/>
    <m/>
  </r>
  <r>
    <n v="0"/>
    <n v="5"/>
    <x v="4"/>
    <x v="1"/>
    <n v="0"/>
    <m/>
    <m/>
    <m/>
  </r>
  <r>
    <n v="0"/>
    <n v="6"/>
    <x v="4"/>
    <x v="1"/>
    <n v="0"/>
    <m/>
    <m/>
    <m/>
  </r>
  <r>
    <n v="0"/>
    <n v="7"/>
    <x v="4"/>
    <x v="1"/>
    <n v="0"/>
    <m/>
    <m/>
    <m/>
  </r>
  <r>
    <n v="0"/>
    <n v="8"/>
    <x v="4"/>
    <x v="1"/>
    <n v="0"/>
    <m/>
    <m/>
    <m/>
  </r>
  <r>
    <n v="0"/>
    <n v="9"/>
    <x v="4"/>
    <x v="1"/>
    <n v="0"/>
    <m/>
    <m/>
    <m/>
  </r>
  <r>
    <n v="0"/>
    <n v="10"/>
    <x v="4"/>
    <x v="1"/>
    <n v="0"/>
    <m/>
    <m/>
    <m/>
  </r>
  <r>
    <n v="0"/>
    <n v="11"/>
    <x v="4"/>
    <x v="1"/>
    <n v="0"/>
    <m/>
    <m/>
    <m/>
  </r>
  <r>
    <n v="0"/>
    <n v="12"/>
    <x v="4"/>
    <x v="1"/>
    <n v="0"/>
    <m/>
    <m/>
    <m/>
  </r>
  <r>
    <n v="0"/>
    <n v="13"/>
    <x v="4"/>
    <x v="1"/>
    <n v="0"/>
    <m/>
    <m/>
    <m/>
  </r>
  <r>
    <n v="0"/>
    <n v="14"/>
    <x v="4"/>
    <x v="1"/>
    <n v="0"/>
    <m/>
    <m/>
    <m/>
  </r>
  <r>
    <n v="0"/>
    <n v="15"/>
    <x v="4"/>
    <x v="1"/>
    <n v="0"/>
    <m/>
    <m/>
    <m/>
  </r>
  <r>
    <n v="0"/>
    <n v="16"/>
    <x v="4"/>
    <x v="1"/>
    <n v="0"/>
    <m/>
    <m/>
    <m/>
  </r>
  <r>
    <n v="0"/>
    <n v="17"/>
    <x v="4"/>
    <x v="1"/>
    <n v="0"/>
    <m/>
    <m/>
    <m/>
  </r>
  <r>
    <n v="0"/>
    <n v="18"/>
    <x v="4"/>
    <x v="1"/>
    <n v="0"/>
    <m/>
    <m/>
    <m/>
  </r>
  <r>
    <n v="0"/>
    <n v="19"/>
    <x v="4"/>
    <x v="1"/>
    <n v="0"/>
    <m/>
    <m/>
    <m/>
  </r>
  <r>
    <n v="0"/>
    <n v="20"/>
    <x v="4"/>
    <x v="1"/>
    <n v="0"/>
    <m/>
    <m/>
    <m/>
  </r>
  <r>
    <n v="0"/>
    <n v="1"/>
    <x v="5"/>
    <x v="1"/>
    <n v="0"/>
    <m/>
    <m/>
    <m/>
  </r>
  <r>
    <n v="0"/>
    <n v="2"/>
    <x v="5"/>
    <x v="1"/>
    <n v="0"/>
    <m/>
    <m/>
    <m/>
  </r>
  <r>
    <n v="0"/>
    <n v="3"/>
    <x v="5"/>
    <x v="1"/>
    <n v="0"/>
    <m/>
    <m/>
    <m/>
  </r>
  <r>
    <n v="0"/>
    <n v="4"/>
    <x v="5"/>
    <x v="1"/>
    <n v="0"/>
    <m/>
    <m/>
    <m/>
  </r>
  <r>
    <n v="0"/>
    <n v="5"/>
    <x v="5"/>
    <x v="1"/>
    <n v="0"/>
    <m/>
    <m/>
    <m/>
  </r>
  <r>
    <n v="0"/>
    <n v="6"/>
    <x v="5"/>
    <x v="1"/>
    <n v="0"/>
    <m/>
    <m/>
    <m/>
  </r>
  <r>
    <n v="0"/>
    <n v="7"/>
    <x v="5"/>
    <x v="1"/>
    <n v="0"/>
    <m/>
    <m/>
    <m/>
  </r>
  <r>
    <n v="0"/>
    <n v="8"/>
    <x v="5"/>
    <x v="1"/>
    <n v="0"/>
    <m/>
    <m/>
    <m/>
  </r>
  <r>
    <n v="0"/>
    <n v="9"/>
    <x v="5"/>
    <x v="1"/>
    <n v="0"/>
    <m/>
    <m/>
    <m/>
  </r>
  <r>
    <n v="0"/>
    <n v="10"/>
    <x v="5"/>
    <x v="1"/>
    <n v="0"/>
    <m/>
    <m/>
    <m/>
  </r>
  <r>
    <n v="0"/>
    <n v="11"/>
    <x v="5"/>
    <x v="1"/>
    <n v="0"/>
    <m/>
    <m/>
    <m/>
  </r>
  <r>
    <n v="0"/>
    <n v="12"/>
    <x v="5"/>
    <x v="1"/>
    <n v="0"/>
    <m/>
    <m/>
    <m/>
  </r>
  <r>
    <n v="0"/>
    <n v="13"/>
    <x v="5"/>
    <x v="1"/>
    <n v="0"/>
    <m/>
    <m/>
    <m/>
  </r>
  <r>
    <n v="0"/>
    <n v="14"/>
    <x v="5"/>
    <x v="1"/>
    <n v="0"/>
    <m/>
    <m/>
    <m/>
  </r>
  <r>
    <n v="0"/>
    <n v="15"/>
    <x v="5"/>
    <x v="1"/>
    <n v="0"/>
    <m/>
    <m/>
    <m/>
  </r>
  <r>
    <n v="0"/>
    <n v="16"/>
    <x v="5"/>
    <x v="1"/>
    <n v="0"/>
    <m/>
    <m/>
    <m/>
  </r>
  <r>
    <n v="0"/>
    <n v="17"/>
    <x v="5"/>
    <x v="1"/>
    <n v="0"/>
    <m/>
    <m/>
    <m/>
  </r>
  <r>
    <n v="0"/>
    <n v="18"/>
    <x v="5"/>
    <x v="1"/>
    <n v="0"/>
    <m/>
    <m/>
    <m/>
  </r>
  <r>
    <n v="0"/>
    <n v="19"/>
    <x v="5"/>
    <x v="1"/>
    <n v="0"/>
    <m/>
    <m/>
    <m/>
  </r>
  <r>
    <n v="0"/>
    <n v="20"/>
    <x v="5"/>
    <x v="1"/>
    <n v="0"/>
    <m/>
    <m/>
    <m/>
  </r>
  <r>
    <n v="0"/>
    <n v="1"/>
    <x v="6"/>
    <x v="2"/>
    <n v="0"/>
    <n v="0"/>
    <m/>
    <m/>
  </r>
  <r>
    <n v="0"/>
    <n v="2"/>
    <x v="6"/>
    <x v="2"/>
    <n v="0"/>
    <n v="0"/>
    <m/>
    <m/>
  </r>
  <r>
    <n v="0"/>
    <n v="3"/>
    <x v="6"/>
    <x v="2"/>
    <n v="0"/>
    <n v="0"/>
    <m/>
    <m/>
  </r>
  <r>
    <n v="0"/>
    <n v="4"/>
    <x v="6"/>
    <x v="2"/>
    <n v="0"/>
    <n v="0"/>
    <m/>
    <m/>
  </r>
  <r>
    <n v="0"/>
    <n v="5"/>
    <x v="6"/>
    <x v="2"/>
    <n v="0"/>
    <n v="0"/>
    <m/>
    <m/>
  </r>
  <r>
    <n v="0"/>
    <n v="6"/>
    <x v="6"/>
    <x v="2"/>
    <n v="0"/>
    <n v="0"/>
    <m/>
    <m/>
  </r>
  <r>
    <n v="0"/>
    <n v="7"/>
    <x v="6"/>
    <x v="2"/>
    <n v="0"/>
    <n v="0"/>
    <m/>
    <m/>
  </r>
  <r>
    <n v="0"/>
    <n v="8"/>
    <x v="6"/>
    <x v="2"/>
    <n v="0"/>
    <n v="0"/>
    <m/>
    <m/>
  </r>
  <r>
    <n v="0"/>
    <n v="1"/>
    <x v="6"/>
    <x v="3"/>
    <n v="0"/>
    <n v="0"/>
    <m/>
    <m/>
  </r>
  <r>
    <n v="0"/>
    <n v="2"/>
    <x v="6"/>
    <x v="3"/>
    <n v="0"/>
    <n v="0"/>
    <m/>
    <m/>
  </r>
  <r>
    <n v="0"/>
    <n v="3"/>
    <x v="6"/>
    <x v="3"/>
    <n v="0"/>
    <n v="0"/>
    <m/>
    <m/>
  </r>
  <r>
    <n v="0"/>
    <n v="4"/>
    <x v="6"/>
    <x v="3"/>
    <n v="0"/>
    <n v="0"/>
    <m/>
    <m/>
  </r>
  <r>
    <n v="0"/>
    <n v="5"/>
    <x v="6"/>
    <x v="3"/>
    <n v="0"/>
    <n v="0"/>
    <m/>
    <m/>
  </r>
  <r>
    <n v="0"/>
    <n v="6"/>
    <x v="6"/>
    <x v="3"/>
    <n v="0"/>
    <n v="0"/>
    <m/>
    <m/>
  </r>
  <r>
    <n v="0"/>
    <n v="7"/>
    <x v="6"/>
    <x v="3"/>
    <n v="0"/>
    <n v="0"/>
    <m/>
    <m/>
  </r>
  <r>
    <n v="0"/>
    <n v="8"/>
    <x v="6"/>
    <x v="3"/>
    <n v="0"/>
    <n v="0"/>
    <m/>
    <m/>
  </r>
  <r>
    <n v="0"/>
    <n v="1"/>
    <x v="6"/>
    <x v="4"/>
    <n v="0"/>
    <n v="0"/>
    <m/>
    <m/>
  </r>
  <r>
    <n v="0"/>
    <n v="2"/>
    <x v="6"/>
    <x v="4"/>
    <n v="0"/>
    <n v="0"/>
    <m/>
    <m/>
  </r>
  <r>
    <n v="0"/>
    <n v="3"/>
    <x v="6"/>
    <x v="4"/>
    <n v="0"/>
    <n v="0"/>
    <m/>
    <m/>
  </r>
  <r>
    <n v="0"/>
    <n v="4"/>
    <x v="6"/>
    <x v="4"/>
    <n v="0"/>
    <n v="0"/>
    <m/>
    <m/>
  </r>
  <r>
    <n v="0"/>
    <n v="5"/>
    <x v="6"/>
    <x v="4"/>
    <n v="0"/>
    <n v="0"/>
    <m/>
    <m/>
  </r>
  <r>
    <n v="0"/>
    <n v="6"/>
    <x v="6"/>
    <x v="4"/>
    <n v="0"/>
    <n v="0"/>
    <m/>
    <m/>
  </r>
  <r>
    <n v="0"/>
    <n v="7"/>
    <x v="6"/>
    <x v="4"/>
    <n v="0"/>
    <n v="0"/>
    <m/>
    <m/>
  </r>
  <r>
    <n v="0"/>
    <n v="8"/>
    <x v="6"/>
    <x v="4"/>
    <n v="0"/>
    <n v="0"/>
    <m/>
    <m/>
  </r>
  <r>
    <n v="0"/>
    <n v="1"/>
    <x v="6"/>
    <x v="5"/>
    <n v="0"/>
    <n v="0"/>
    <m/>
    <m/>
  </r>
  <r>
    <n v="0"/>
    <n v="2"/>
    <x v="6"/>
    <x v="5"/>
    <n v="0"/>
    <n v="0"/>
    <m/>
    <m/>
  </r>
  <r>
    <n v="0"/>
    <n v="3"/>
    <x v="6"/>
    <x v="5"/>
    <n v="0"/>
    <n v="0"/>
    <m/>
    <m/>
  </r>
  <r>
    <n v="0"/>
    <n v="4"/>
    <x v="6"/>
    <x v="5"/>
    <n v="0"/>
    <n v="0"/>
    <m/>
    <m/>
  </r>
  <r>
    <n v="0"/>
    <n v="5"/>
    <x v="6"/>
    <x v="5"/>
    <n v="0"/>
    <n v="0"/>
    <m/>
    <m/>
  </r>
  <r>
    <n v="0"/>
    <n v="6"/>
    <x v="6"/>
    <x v="5"/>
    <n v="0"/>
    <n v="0"/>
    <m/>
    <m/>
  </r>
  <r>
    <n v="0"/>
    <n v="7"/>
    <x v="6"/>
    <x v="5"/>
    <n v="0"/>
    <n v="0"/>
    <m/>
    <m/>
  </r>
  <r>
    <n v="0"/>
    <n v="8"/>
    <x v="6"/>
    <x v="5"/>
    <n v="0"/>
    <n v="0"/>
    <m/>
    <m/>
  </r>
  <r>
    <n v="0"/>
    <n v="1"/>
    <x v="6"/>
    <x v="16"/>
    <n v="0"/>
    <n v="0"/>
    <m/>
    <m/>
  </r>
  <r>
    <n v="0"/>
    <n v="2"/>
    <x v="6"/>
    <x v="16"/>
    <n v="0"/>
    <n v="0"/>
    <m/>
    <m/>
  </r>
  <r>
    <n v="0"/>
    <n v="3"/>
    <x v="6"/>
    <x v="16"/>
    <n v="0"/>
    <n v="0"/>
    <m/>
    <m/>
  </r>
  <r>
    <n v="0"/>
    <n v="4"/>
    <x v="6"/>
    <x v="16"/>
    <n v="0"/>
    <n v="0"/>
    <m/>
    <m/>
  </r>
  <r>
    <n v="0"/>
    <n v="5"/>
    <x v="6"/>
    <x v="16"/>
    <n v="0"/>
    <n v="0"/>
    <m/>
    <m/>
  </r>
  <r>
    <n v="0"/>
    <n v="6"/>
    <x v="6"/>
    <x v="16"/>
    <n v="0"/>
    <n v="0"/>
    <m/>
    <m/>
  </r>
  <r>
    <n v="0"/>
    <n v="7"/>
    <x v="6"/>
    <x v="16"/>
    <n v="0"/>
    <n v="0"/>
    <m/>
    <m/>
  </r>
  <r>
    <n v="0"/>
    <n v="8"/>
    <x v="6"/>
    <x v="16"/>
    <n v="0"/>
    <n v="0"/>
    <m/>
    <m/>
  </r>
  <r>
    <n v="0"/>
    <n v="9"/>
    <x v="6"/>
    <x v="16"/>
    <n v="0"/>
    <n v="0"/>
    <m/>
    <m/>
  </r>
  <r>
    <n v="0"/>
    <n v="10"/>
    <x v="6"/>
    <x v="16"/>
    <n v="0"/>
    <n v="0"/>
    <m/>
    <m/>
  </r>
  <r>
    <n v="0"/>
    <n v="1"/>
    <x v="6"/>
    <x v="17"/>
    <n v="0"/>
    <n v="0"/>
    <m/>
    <m/>
  </r>
  <r>
    <n v="0"/>
    <n v="2"/>
    <x v="6"/>
    <x v="17"/>
    <n v="0"/>
    <n v="0"/>
    <m/>
    <m/>
  </r>
  <r>
    <n v="0"/>
    <n v="3"/>
    <x v="6"/>
    <x v="17"/>
    <n v="0"/>
    <n v="0"/>
    <m/>
    <m/>
  </r>
  <r>
    <n v="0"/>
    <n v="4"/>
    <x v="6"/>
    <x v="17"/>
    <n v="0"/>
    <n v="0"/>
    <m/>
    <m/>
  </r>
  <r>
    <n v="0"/>
    <n v="5"/>
    <x v="6"/>
    <x v="17"/>
    <n v="0"/>
    <n v="0"/>
    <m/>
    <m/>
  </r>
  <r>
    <n v="0"/>
    <n v="6"/>
    <x v="6"/>
    <x v="17"/>
    <n v="0"/>
    <n v="0"/>
    <m/>
    <m/>
  </r>
  <r>
    <n v="0"/>
    <n v="7"/>
    <x v="6"/>
    <x v="17"/>
    <n v="0"/>
    <n v="0"/>
    <m/>
    <m/>
  </r>
  <r>
    <n v="0"/>
    <n v="8"/>
    <x v="6"/>
    <x v="17"/>
    <n v="0"/>
    <n v="0"/>
    <m/>
    <m/>
  </r>
  <r>
    <n v="0"/>
    <n v="1"/>
    <x v="7"/>
    <x v="18"/>
    <n v="0"/>
    <n v="0"/>
    <n v="0"/>
    <m/>
  </r>
  <r>
    <n v="0"/>
    <n v="2"/>
    <x v="7"/>
    <x v="18"/>
    <n v="0"/>
    <n v="0"/>
    <n v="0"/>
    <m/>
  </r>
  <r>
    <n v="0"/>
    <n v="3"/>
    <x v="7"/>
    <x v="18"/>
    <n v="0"/>
    <n v="0"/>
    <n v="0"/>
    <m/>
  </r>
  <r>
    <n v="0"/>
    <n v="4"/>
    <x v="7"/>
    <x v="18"/>
    <n v="0"/>
    <n v="0"/>
    <n v="0"/>
    <m/>
  </r>
  <r>
    <n v="0"/>
    <n v="5"/>
    <x v="7"/>
    <x v="18"/>
    <n v="0"/>
    <n v="0"/>
    <n v="0"/>
    <m/>
  </r>
  <r>
    <n v="0"/>
    <n v="6"/>
    <x v="7"/>
    <x v="18"/>
    <n v="0"/>
    <n v="0"/>
    <n v="0"/>
    <m/>
  </r>
  <r>
    <n v="0"/>
    <n v="7"/>
    <x v="7"/>
    <x v="18"/>
    <n v="0"/>
    <n v="0"/>
    <n v="0"/>
    <m/>
  </r>
  <r>
    <n v="0"/>
    <n v="8"/>
    <x v="7"/>
    <x v="18"/>
    <n v="0"/>
    <n v="0"/>
    <n v="0"/>
    <m/>
  </r>
  <r>
    <n v="0"/>
    <n v="1"/>
    <x v="7"/>
    <x v="5"/>
    <n v="0"/>
    <n v="0"/>
    <n v="0"/>
    <m/>
  </r>
  <r>
    <n v="0"/>
    <n v="2"/>
    <x v="7"/>
    <x v="5"/>
    <n v="0"/>
    <n v="0"/>
    <n v="0"/>
    <m/>
  </r>
  <r>
    <n v="0"/>
    <n v="3"/>
    <x v="7"/>
    <x v="5"/>
    <n v="0"/>
    <n v="0"/>
    <n v="0"/>
    <m/>
  </r>
  <r>
    <n v="0"/>
    <n v="4"/>
    <x v="7"/>
    <x v="5"/>
    <n v="0"/>
    <n v="0"/>
    <n v="0"/>
    <m/>
  </r>
  <r>
    <n v="0"/>
    <n v="5"/>
    <x v="7"/>
    <x v="5"/>
    <n v="0"/>
    <n v="0"/>
    <n v="0"/>
    <m/>
  </r>
  <r>
    <n v="0"/>
    <n v="6"/>
    <x v="7"/>
    <x v="5"/>
    <n v="0"/>
    <n v="0"/>
    <n v="0"/>
    <m/>
  </r>
  <r>
    <n v="0"/>
    <n v="7"/>
    <x v="7"/>
    <x v="5"/>
    <n v="0"/>
    <n v="0"/>
    <n v="0"/>
    <m/>
  </r>
  <r>
    <n v="0"/>
    <n v="8"/>
    <x v="7"/>
    <x v="5"/>
    <n v="0"/>
    <n v="0"/>
    <n v="0"/>
    <m/>
  </r>
  <r>
    <n v="0"/>
    <n v="1"/>
    <x v="7"/>
    <x v="16"/>
    <n v="0"/>
    <n v="0"/>
    <n v="0"/>
    <m/>
  </r>
  <r>
    <n v="0"/>
    <n v="2"/>
    <x v="7"/>
    <x v="16"/>
    <n v="0"/>
    <n v="0"/>
    <n v="0"/>
    <m/>
  </r>
  <r>
    <n v="0"/>
    <n v="3"/>
    <x v="7"/>
    <x v="16"/>
    <n v="0"/>
    <n v="0"/>
    <n v="0"/>
    <m/>
  </r>
  <r>
    <n v="0"/>
    <n v="4"/>
    <x v="7"/>
    <x v="16"/>
    <n v="0"/>
    <n v="0"/>
    <n v="0"/>
    <m/>
  </r>
  <r>
    <n v="0"/>
    <n v="5"/>
    <x v="7"/>
    <x v="16"/>
    <n v="0"/>
    <n v="0"/>
    <n v="0"/>
    <m/>
  </r>
  <r>
    <n v="0"/>
    <n v="6"/>
    <x v="7"/>
    <x v="16"/>
    <n v="0"/>
    <n v="0"/>
    <n v="0"/>
    <m/>
  </r>
  <r>
    <n v="0"/>
    <n v="7"/>
    <x v="7"/>
    <x v="16"/>
    <n v="0"/>
    <n v="0"/>
    <n v="0"/>
    <m/>
  </r>
  <r>
    <n v="0"/>
    <n v="8"/>
    <x v="7"/>
    <x v="16"/>
    <n v="0"/>
    <n v="0"/>
    <n v="0"/>
    <m/>
  </r>
  <r>
    <n v="0"/>
    <n v="1"/>
    <x v="7"/>
    <x v="17"/>
    <n v="0"/>
    <n v="0"/>
    <n v="0"/>
    <m/>
  </r>
  <r>
    <n v="0"/>
    <n v="2"/>
    <x v="7"/>
    <x v="17"/>
    <n v="0"/>
    <n v="0"/>
    <n v="0"/>
    <m/>
  </r>
  <r>
    <n v="0"/>
    <n v="3"/>
    <x v="7"/>
    <x v="17"/>
    <n v="0"/>
    <n v="0"/>
    <n v="0"/>
    <m/>
  </r>
  <r>
    <n v="0"/>
    <n v="4"/>
    <x v="7"/>
    <x v="17"/>
    <n v="0"/>
    <n v="0"/>
    <n v="0"/>
    <m/>
  </r>
  <r>
    <n v="0"/>
    <n v="5"/>
    <x v="7"/>
    <x v="17"/>
    <n v="0"/>
    <n v="0"/>
    <n v="0"/>
    <m/>
  </r>
  <r>
    <n v="0"/>
    <n v="6"/>
    <x v="7"/>
    <x v="17"/>
    <n v="0"/>
    <n v="0"/>
    <n v="0"/>
    <m/>
  </r>
  <r>
    <n v="0"/>
    <n v="7"/>
    <x v="7"/>
    <x v="17"/>
    <n v="0"/>
    <n v="0"/>
    <n v="0"/>
    <m/>
  </r>
  <r>
    <n v="0"/>
    <n v="8"/>
    <x v="7"/>
    <x v="17"/>
    <n v="0"/>
    <n v="0"/>
    <n v="0"/>
    <m/>
  </r>
  <r>
    <n v="0"/>
    <n v="1"/>
    <x v="8"/>
    <x v="18"/>
    <n v="0"/>
    <n v="0"/>
    <n v="0"/>
    <n v="0"/>
  </r>
  <r>
    <n v="0"/>
    <n v="2"/>
    <x v="8"/>
    <x v="18"/>
    <n v="0"/>
    <n v="0"/>
    <n v="0"/>
    <n v="0"/>
  </r>
  <r>
    <n v="0"/>
    <n v="3"/>
    <x v="8"/>
    <x v="18"/>
    <n v="0"/>
    <n v="0"/>
    <n v="0"/>
    <n v="0"/>
  </r>
  <r>
    <n v="0"/>
    <n v="4"/>
    <x v="8"/>
    <x v="18"/>
    <n v="0"/>
    <n v="0"/>
    <n v="0"/>
    <n v="0"/>
  </r>
  <r>
    <n v="0"/>
    <n v="5"/>
    <x v="8"/>
    <x v="18"/>
    <n v="0"/>
    <n v="0"/>
    <n v="0"/>
    <n v="0"/>
  </r>
  <r>
    <n v="0"/>
    <n v="6"/>
    <x v="8"/>
    <x v="18"/>
    <n v="0"/>
    <n v="0"/>
    <n v="0"/>
    <n v="0"/>
  </r>
  <r>
    <n v="0"/>
    <n v="7"/>
    <x v="8"/>
    <x v="18"/>
    <n v="0"/>
    <n v="0"/>
    <n v="0"/>
    <n v="0"/>
  </r>
  <r>
    <n v="0"/>
    <n v="8"/>
    <x v="8"/>
    <x v="18"/>
    <n v="0"/>
    <n v="0"/>
    <n v="0"/>
    <n v="0"/>
  </r>
  <r>
    <n v="0"/>
    <n v="1"/>
    <x v="8"/>
    <x v="5"/>
    <n v="0"/>
    <n v="0"/>
    <n v="0"/>
    <n v="0"/>
  </r>
  <r>
    <n v="0"/>
    <n v="2"/>
    <x v="8"/>
    <x v="5"/>
    <n v="0"/>
    <n v="0"/>
    <n v="0"/>
    <n v="0"/>
  </r>
  <r>
    <n v="0"/>
    <n v="3"/>
    <x v="8"/>
    <x v="5"/>
    <n v="0"/>
    <n v="0"/>
    <n v="0"/>
    <n v="0"/>
  </r>
  <r>
    <n v="0"/>
    <n v="4"/>
    <x v="8"/>
    <x v="5"/>
    <n v="0"/>
    <n v="0"/>
    <n v="0"/>
    <n v="0"/>
  </r>
  <r>
    <n v="0"/>
    <n v="5"/>
    <x v="8"/>
    <x v="5"/>
    <n v="0"/>
    <n v="0"/>
    <n v="0"/>
    <n v="0"/>
  </r>
  <r>
    <n v="0"/>
    <n v="6"/>
    <x v="8"/>
    <x v="5"/>
    <n v="0"/>
    <n v="0"/>
    <n v="0"/>
    <n v="0"/>
  </r>
  <r>
    <n v="0"/>
    <n v="7"/>
    <x v="8"/>
    <x v="5"/>
    <n v="0"/>
    <n v="0"/>
    <n v="0"/>
    <n v="0"/>
  </r>
  <r>
    <n v="0"/>
    <n v="8"/>
    <x v="8"/>
    <x v="5"/>
    <n v="0"/>
    <n v="0"/>
    <n v="0"/>
    <n v="0"/>
  </r>
  <r>
    <n v="0"/>
    <n v="1"/>
    <x v="8"/>
    <x v="16"/>
    <n v="0"/>
    <n v="0"/>
    <n v="0"/>
    <n v="0"/>
  </r>
  <r>
    <n v="0"/>
    <n v="2"/>
    <x v="8"/>
    <x v="16"/>
    <n v="0"/>
    <n v="0"/>
    <n v="0"/>
    <n v="0"/>
  </r>
  <r>
    <n v="0"/>
    <n v="3"/>
    <x v="8"/>
    <x v="16"/>
    <n v="0"/>
    <n v="0"/>
    <n v="0"/>
    <n v="0"/>
  </r>
  <r>
    <n v="0"/>
    <n v="4"/>
    <x v="8"/>
    <x v="16"/>
    <n v="0"/>
    <n v="0"/>
    <n v="0"/>
    <n v="0"/>
  </r>
  <r>
    <n v="0"/>
    <n v="5"/>
    <x v="8"/>
    <x v="16"/>
    <n v="0"/>
    <n v="0"/>
    <n v="0"/>
    <n v="0"/>
  </r>
  <r>
    <n v="0"/>
    <n v="6"/>
    <x v="8"/>
    <x v="16"/>
    <n v="0"/>
    <n v="0"/>
    <n v="0"/>
    <n v="0"/>
  </r>
  <r>
    <n v="0"/>
    <n v="7"/>
    <x v="8"/>
    <x v="16"/>
    <n v="0"/>
    <n v="0"/>
    <n v="0"/>
    <n v="0"/>
  </r>
  <r>
    <n v="0"/>
    <n v="8"/>
    <x v="8"/>
    <x v="16"/>
    <n v="0"/>
    <n v="0"/>
    <n v="0"/>
    <n v="0"/>
  </r>
  <r>
    <n v="0"/>
    <n v="1"/>
    <x v="8"/>
    <x v="17"/>
    <n v="0"/>
    <n v="0"/>
    <n v="0"/>
    <n v="0"/>
  </r>
  <r>
    <n v="0"/>
    <n v="2"/>
    <x v="8"/>
    <x v="17"/>
    <n v="0"/>
    <n v="0"/>
    <n v="0"/>
    <n v="0"/>
  </r>
  <r>
    <n v="0"/>
    <n v="3"/>
    <x v="8"/>
    <x v="17"/>
    <n v="0"/>
    <n v="0"/>
    <n v="0"/>
    <n v="0"/>
  </r>
  <r>
    <n v="0"/>
    <n v="4"/>
    <x v="8"/>
    <x v="17"/>
    <n v="0"/>
    <n v="0"/>
    <n v="0"/>
    <n v="0"/>
  </r>
  <r>
    <n v="0"/>
    <n v="5"/>
    <x v="8"/>
    <x v="17"/>
    <n v="0"/>
    <n v="0"/>
    <n v="0"/>
    <n v="0"/>
  </r>
  <r>
    <n v="0"/>
    <n v="6"/>
    <x v="8"/>
    <x v="17"/>
    <n v="0"/>
    <n v="0"/>
    <n v="0"/>
    <n v="0"/>
  </r>
  <r>
    <n v="0"/>
    <n v="7"/>
    <x v="8"/>
    <x v="17"/>
    <n v="0"/>
    <n v="0"/>
    <n v="0"/>
    <n v="0"/>
  </r>
  <r>
    <n v="0"/>
    <n v="8"/>
    <x v="8"/>
    <x v="17"/>
    <n v="0"/>
    <n v="0"/>
    <n v="0"/>
    <n v="0"/>
  </r>
  <r>
    <n v="0"/>
    <n v="1"/>
    <x v="9"/>
    <x v="0"/>
    <n v="0"/>
    <n v="0"/>
    <n v="0"/>
    <n v="0"/>
  </r>
  <r>
    <n v="0"/>
    <n v="2"/>
    <x v="9"/>
    <x v="0"/>
    <n v="0"/>
    <n v="0"/>
    <n v="0"/>
    <n v="0"/>
  </r>
  <r>
    <n v="0"/>
    <n v="3"/>
    <x v="9"/>
    <x v="0"/>
    <n v="0"/>
    <n v="0"/>
    <n v="0"/>
    <n v="0"/>
  </r>
  <r>
    <n v="0"/>
    <n v="4"/>
    <x v="9"/>
    <x v="0"/>
    <n v="0"/>
    <n v="0"/>
    <n v="0"/>
    <n v="0"/>
  </r>
  <r>
    <n v="0"/>
    <n v="5"/>
    <x v="9"/>
    <x v="0"/>
    <n v="0"/>
    <n v="0"/>
    <n v="0"/>
    <n v="0"/>
  </r>
  <r>
    <n v="0"/>
    <n v="6"/>
    <x v="9"/>
    <x v="0"/>
    <n v="0"/>
    <n v="0"/>
    <n v="0"/>
    <n v="0"/>
  </r>
  <r>
    <n v="0"/>
    <n v="7"/>
    <x v="9"/>
    <x v="0"/>
    <n v="0"/>
    <n v="0"/>
    <n v="0"/>
    <n v="0"/>
  </r>
  <r>
    <n v="0"/>
    <n v="8"/>
    <x v="9"/>
    <x v="0"/>
    <n v="0"/>
    <n v="0"/>
    <n v="0"/>
    <n v="0"/>
  </r>
  <r>
    <n v="0"/>
    <n v="1"/>
    <x v="9"/>
    <x v="19"/>
    <n v="0"/>
    <n v="0"/>
    <n v="0"/>
    <n v="0"/>
  </r>
  <r>
    <n v="0"/>
    <n v="2"/>
    <x v="9"/>
    <x v="19"/>
    <n v="0"/>
    <n v="0"/>
    <n v="0"/>
    <n v="0"/>
  </r>
  <r>
    <n v="0"/>
    <n v="3"/>
    <x v="9"/>
    <x v="19"/>
    <n v="0"/>
    <n v="0"/>
    <n v="0"/>
    <n v="0"/>
  </r>
  <r>
    <n v="0"/>
    <n v="4"/>
    <x v="9"/>
    <x v="19"/>
    <n v="0"/>
    <n v="0"/>
    <n v="0"/>
    <n v="0"/>
  </r>
  <r>
    <n v="0"/>
    <n v="5"/>
    <x v="9"/>
    <x v="19"/>
    <n v="0"/>
    <n v="0"/>
    <n v="0"/>
    <n v="0"/>
  </r>
  <r>
    <n v="0"/>
    <n v="6"/>
    <x v="9"/>
    <x v="19"/>
    <n v="0"/>
    <n v="0"/>
    <n v="0"/>
    <n v="0"/>
  </r>
  <r>
    <n v="0"/>
    <n v="7"/>
    <x v="9"/>
    <x v="19"/>
    <n v="0"/>
    <n v="0"/>
    <n v="0"/>
    <n v="0"/>
  </r>
  <r>
    <n v="0"/>
    <n v="8"/>
    <x v="9"/>
    <x v="19"/>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2" cacheId="0" applyNumberFormats="0" applyBorderFormats="0" applyFontFormats="0" applyPatternFormats="0" applyAlignmentFormats="0" applyWidthHeightFormats="1" dataCaption="Values" updatedVersion="4" minRefreshableVersion="3" useAutoFormatting="1" itemPrintTitles="1" createdVersion="4" indent="0" outline="1" outlineData="1" gridDropZones="1" multipleFieldFilters="0">
  <location ref="A3:B52" firstHeaderRow="2" firstDataRow="2" firstDataCol="1"/>
  <pivotFields count="8">
    <pivotField showAll="0"/>
    <pivotField showAll="0"/>
    <pivotField axis="axisRow" showAll="0">
      <items count="12">
        <item m="1" x="10"/>
        <item x="3"/>
        <item x="0"/>
        <item x="2"/>
        <item x="1"/>
        <item x="6"/>
        <item x="8"/>
        <item x="4"/>
        <item x="5"/>
        <item x="7"/>
        <item x="9"/>
        <item t="default"/>
      </items>
    </pivotField>
    <pivotField axis="axisRow" dataField="1" showAll="0">
      <items count="21">
        <item x="13"/>
        <item x="9"/>
        <item x="14"/>
        <item x="10"/>
        <item x="15"/>
        <item x="11"/>
        <item x="4"/>
        <item x="5"/>
        <item x="16"/>
        <item x="17"/>
        <item x="2"/>
        <item x="3"/>
        <item x="0"/>
        <item x="1"/>
        <item x="6"/>
        <item x="7"/>
        <item x="8"/>
        <item x="12"/>
        <item x="18"/>
        <item x="19"/>
        <item t="default"/>
      </items>
    </pivotField>
    <pivotField showAll="0"/>
    <pivotField showAll="0"/>
    <pivotField showAll="0"/>
    <pivotField showAll="0"/>
  </pivotFields>
  <rowFields count="2">
    <field x="2"/>
    <field x="3"/>
  </rowFields>
  <rowItems count="48">
    <i>
      <x v="1"/>
    </i>
    <i r="1">
      <x/>
    </i>
    <i r="1">
      <x v="1"/>
    </i>
    <i r="1">
      <x v="2"/>
    </i>
    <i r="1">
      <x v="3"/>
    </i>
    <i r="1">
      <x v="4"/>
    </i>
    <i r="1">
      <x v="5"/>
    </i>
    <i r="1">
      <x v="10"/>
    </i>
    <i r="1">
      <x v="14"/>
    </i>
    <i r="1">
      <x v="16"/>
    </i>
    <i r="1">
      <x v="17"/>
    </i>
    <i>
      <x v="2"/>
    </i>
    <i r="1">
      <x v="12"/>
    </i>
    <i>
      <x v="3"/>
    </i>
    <i r="1">
      <x v="6"/>
    </i>
    <i r="1">
      <x v="7"/>
    </i>
    <i r="1">
      <x v="10"/>
    </i>
    <i r="1">
      <x v="11"/>
    </i>
    <i r="1">
      <x v="14"/>
    </i>
    <i r="1">
      <x v="15"/>
    </i>
    <i r="1">
      <x v="16"/>
    </i>
    <i>
      <x v="4"/>
    </i>
    <i r="1">
      <x v="13"/>
    </i>
    <i>
      <x v="5"/>
    </i>
    <i r="1">
      <x v="6"/>
    </i>
    <i r="1">
      <x v="7"/>
    </i>
    <i r="1">
      <x v="8"/>
    </i>
    <i r="1">
      <x v="9"/>
    </i>
    <i r="1">
      <x v="10"/>
    </i>
    <i r="1">
      <x v="11"/>
    </i>
    <i>
      <x v="6"/>
    </i>
    <i r="1">
      <x v="7"/>
    </i>
    <i r="1">
      <x v="8"/>
    </i>
    <i r="1">
      <x v="9"/>
    </i>
    <i r="1">
      <x v="18"/>
    </i>
    <i>
      <x v="7"/>
    </i>
    <i r="1">
      <x v="13"/>
    </i>
    <i>
      <x v="8"/>
    </i>
    <i r="1">
      <x v="13"/>
    </i>
    <i>
      <x v="9"/>
    </i>
    <i r="1">
      <x v="7"/>
    </i>
    <i r="1">
      <x v="8"/>
    </i>
    <i r="1">
      <x v="9"/>
    </i>
    <i r="1">
      <x v="18"/>
    </i>
    <i>
      <x v="10"/>
    </i>
    <i r="1">
      <x v="12"/>
    </i>
    <i r="1">
      <x v="19"/>
    </i>
    <i t="grand">
      <x/>
    </i>
  </rowItems>
  <colItems count="1">
    <i/>
  </colItems>
  <dataFields count="1">
    <dataField name="Count of AGE"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9"/>
  <sheetViews>
    <sheetView tabSelected="1" workbookViewId="0">
      <selection activeCell="B6" sqref="B6"/>
    </sheetView>
  </sheetViews>
  <sheetFormatPr defaultColWidth="8.85546875" defaultRowHeight="15" x14ac:dyDescent="0.25"/>
  <cols>
    <col min="1" max="1" width="17.85546875" customWidth="1"/>
    <col min="2" max="2" width="71.7109375" customWidth="1"/>
    <col min="4" max="4" width="25.7109375" bestFit="1" customWidth="1"/>
    <col min="5" max="5" width="61.7109375" customWidth="1"/>
  </cols>
  <sheetData>
    <row r="1" spans="1:5" ht="21" x14ac:dyDescent="0.35">
      <c r="A1" s="31" t="s">
        <v>93</v>
      </c>
    </row>
    <row r="2" spans="1:5" ht="15.75" thickBot="1" x14ac:dyDescent="0.3"/>
    <row r="3" spans="1:5" ht="33" customHeight="1" x14ac:dyDescent="0.25">
      <c r="A3" s="71" t="s">
        <v>5</v>
      </c>
      <c r="B3" s="72"/>
      <c r="C3" s="63"/>
      <c r="D3" s="103" t="s">
        <v>100</v>
      </c>
      <c r="E3" s="104"/>
    </row>
    <row r="4" spans="1:5" ht="33" customHeight="1" x14ac:dyDescent="0.25">
      <c r="A4" s="73" t="s">
        <v>6</v>
      </c>
      <c r="B4" s="74"/>
      <c r="D4" s="105"/>
      <c r="E4" s="106"/>
    </row>
    <row r="5" spans="1:5" ht="33" customHeight="1" x14ac:dyDescent="0.25">
      <c r="A5" s="73" t="s">
        <v>40</v>
      </c>
      <c r="B5" s="74"/>
      <c r="D5" s="75" t="s">
        <v>101</v>
      </c>
      <c r="E5" s="64"/>
    </row>
    <row r="6" spans="1:5" ht="33" customHeight="1" x14ac:dyDescent="0.25">
      <c r="A6" s="73" t="s">
        <v>51</v>
      </c>
      <c r="B6" s="74"/>
      <c r="D6" s="75">
        <v>2</v>
      </c>
      <c r="E6" s="65"/>
    </row>
    <row r="7" spans="1:5" x14ac:dyDescent="0.25">
      <c r="A7" s="97" t="s">
        <v>42</v>
      </c>
      <c r="B7" s="98"/>
      <c r="D7" s="75">
        <v>3</v>
      </c>
      <c r="E7" s="65"/>
    </row>
    <row r="8" spans="1:5" x14ac:dyDescent="0.25">
      <c r="A8" s="99" t="s">
        <v>43</v>
      </c>
      <c r="B8" s="100"/>
      <c r="D8" s="75">
        <v>4</v>
      </c>
      <c r="E8" s="65"/>
    </row>
    <row r="9" spans="1:5" x14ac:dyDescent="0.25">
      <c r="A9" s="99" t="s">
        <v>44</v>
      </c>
      <c r="B9" s="100"/>
      <c r="D9" s="66" t="s">
        <v>102</v>
      </c>
      <c r="E9" s="67"/>
    </row>
    <row r="10" spans="1:5" ht="27.75" customHeight="1" x14ac:dyDescent="0.25">
      <c r="A10" s="101" t="s">
        <v>45</v>
      </c>
      <c r="B10" s="102"/>
      <c r="D10" s="107" t="s">
        <v>103</v>
      </c>
      <c r="E10" s="108"/>
    </row>
    <row r="11" spans="1:5" ht="33" customHeight="1" x14ac:dyDescent="0.25">
      <c r="A11" s="73" t="s">
        <v>52</v>
      </c>
      <c r="B11" s="74"/>
      <c r="D11" s="76" t="s">
        <v>104</v>
      </c>
      <c r="E11" s="68"/>
    </row>
    <row r="12" spans="1:5" x14ac:dyDescent="0.25">
      <c r="A12" s="77"/>
      <c r="D12" s="76" t="s">
        <v>105</v>
      </c>
      <c r="E12" s="68"/>
    </row>
    <row r="13" spans="1:5" ht="15.75" thickBot="1" x14ac:dyDescent="0.3">
      <c r="A13" s="78"/>
      <c r="B13" s="69"/>
      <c r="C13" s="69"/>
      <c r="D13" s="79" t="s">
        <v>106</v>
      </c>
      <c r="E13" s="70"/>
    </row>
    <row r="17" spans="1:2" x14ac:dyDescent="0.25">
      <c r="A17" t="s">
        <v>41</v>
      </c>
    </row>
    <row r="18" spans="1:2" x14ac:dyDescent="0.25">
      <c r="A18" s="29" t="s">
        <v>34</v>
      </c>
      <c r="B18" s="32"/>
    </row>
    <row r="19" spans="1:2" x14ac:dyDescent="0.25">
      <c r="A19" s="29" t="s">
        <v>91</v>
      </c>
      <c r="B19" s="30" t="s">
        <v>90</v>
      </c>
    </row>
  </sheetData>
  <sheetProtection password="CE88" sheet="1" objects="1" scenarios="1" selectLockedCells="1"/>
  <mergeCells count="6">
    <mergeCell ref="A7:B7"/>
    <mergeCell ref="A8:B8"/>
    <mergeCell ref="A9:B9"/>
    <mergeCell ref="A10:B10"/>
    <mergeCell ref="D3:E4"/>
    <mergeCell ref="D10:E10"/>
  </mergeCells>
  <pageMargins left="0.25" right="0.25" top="0.75" bottom="0.75" header="0.3" footer="0.3"/>
  <pageSetup scale="72" orientation="landscape" horizontalDpi="180" verticalDpi="180" r:id="rId1"/>
  <headerFooter>
    <oddHeader>&amp;LAAU Regional Tournament&amp;R&amp;A</oddHeader>
    <oddFooter>&amp;RPage &amp;P of &amp;N</oddFooter>
  </headerFooter>
  <customProperties>
    <customPr name="DVSECTION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K42"/>
  <sheetViews>
    <sheetView topLeftCell="A19" workbookViewId="0">
      <selection activeCell="D42" sqref="D42"/>
    </sheetView>
  </sheetViews>
  <sheetFormatPr defaultColWidth="8.85546875" defaultRowHeight="15" x14ac:dyDescent="0.25"/>
  <cols>
    <col min="1" max="1" width="2.7109375" customWidth="1"/>
    <col min="2" max="2" width="4.7109375" bestFit="1" customWidth="1"/>
    <col min="3" max="3" width="7.140625" bestFit="1" customWidth="1"/>
    <col min="4" max="4" width="8.28515625" bestFit="1" customWidth="1"/>
    <col min="5" max="5" width="20.7109375" customWidth="1"/>
    <col min="6" max="6" width="8.28515625" bestFit="1" customWidth="1"/>
    <col min="7" max="7" width="20.7109375" customWidth="1"/>
    <col min="8" max="8" width="8.28515625" bestFit="1" customWidth="1"/>
    <col min="9" max="9" width="20.7109375" customWidth="1"/>
    <col min="10" max="10" width="8.28515625" bestFit="1" customWidth="1"/>
    <col min="11" max="11" width="20.7109375" customWidth="1"/>
  </cols>
  <sheetData>
    <row r="1" spans="1:11" ht="18.75" x14ac:dyDescent="0.3">
      <c r="A1" s="50" t="s">
        <v>110</v>
      </c>
      <c r="K1" s="34" t="str">
        <f>CONCATENATE("Team: ",'Team Info'!$B$3)</f>
        <v xml:space="preserve">Team: </v>
      </c>
    </row>
    <row r="2" spans="1:11" ht="26.25" customHeight="1" x14ac:dyDescent="0.25">
      <c r="A2" s="113" t="s">
        <v>112</v>
      </c>
      <c r="B2" s="114"/>
      <c r="C2" s="114"/>
      <c r="D2" s="114"/>
      <c r="E2" s="114"/>
      <c r="F2" s="114"/>
      <c r="G2" s="114"/>
      <c r="H2" s="114"/>
      <c r="I2" s="114"/>
      <c r="J2" s="114"/>
      <c r="K2" s="114"/>
    </row>
    <row r="3" spans="1:11" x14ac:dyDescent="0.25">
      <c r="A3" s="22" t="s">
        <v>99</v>
      </c>
      <c r="B3" s="46"/>
      <c r="C3" s="46"/>
      <c r="D3" s="22"/>
      <c r="E3" s="22"/>
      <c r="F3" s="22"/>
      <c r="G3" s="22"/>
      <c r="H3" s="22"/>
      <c r="I3" s="22"/>
      <c r="J3" s="22"/>
      <c r="K3" s="22"/>
    </row>
    <row r="4" spans="1:11" ht="23.25" x14ac:dyDescent="0.25">
      <c r="A4" s="20" t="s">
        <v>0</v>
      </c>
      <c r="B4" s="20" t="s">
        <v>30</v>
      </c>
      <c r="C4" s="20" t="s">
        <v>31</v>
      </c>
      <c r="D4" s="42" t="s">
        <v>7</v>
      </c>
      <c r="E4" s="20" t="s">
        <v>35</v>
      </c>
      <c r="F4" s="42" t="s">
        <v>7</v>
      </c>
      <c r="G4" s="20" t="s">
        <v>35</v>
      </c>
      <c r="H4" s="42" t="s">
        <v>7</v>
      </c>
      <c r="I4" s="20" t="s">
        <v>35</v>
      </c>
      <c r="J4" s="42" t="s">
        <v>7</v>
      </c>
      <c r="K4" s="20" t="s">
        <v>35</v>
      </c>
    </row>
    <row r="5" spans="1:11" x14ac:dyDescent="0.25">
      <c r="A5" s="28">
        <v>1</v>
      </c>
      <c r="B5" s="43" t="s">
        <v>115</v>
      </c>
      <c r="C5" s="48" t="s">
        <v>99</v>
      </c>
      <c r="D5" s="15"/>
      <c r="E5" s="21" t="str">
        <f t="shared" ref="E5:E12" si="0">IF(D5&gt;0,VLOOKUP(D5,Jumpers,3)&amp;", "&amp;VLOOKUP(D5,Jumpers,2)&amp;" ("&amp;VLOOKUP(D5,Jumpers,7)&amp;")","")</f>
        <v/>
      </c>
      <c r="F5" s="15"/>
      <c r="G5" s="21" t="str">
        <f t="shared" ref="G5:G12" si="1">IF(F5&gt;0,VLOOKUP(F5,Jumpers,3)&amp;", "&amp;VLOOKUP(F5,Jumpers,2)&amp;" ("&amp;VLOOKUP(F5,Jumpers,7)&amp;")","")</f>
        <v/>
      </c>
      <c r="H5" s="15"/>
      <c r="I5" s="21" t="str">
        <f t="shared" ref="I5:K12" si="2">IF(H5&gt;0,VLOOKUP(H5,Jumpers,3)&amp;", "&amp;VLOOKUP(H5,Jumpers,2)&amp;" ("&amp;VLOOKUP(H5,Jumpers,7)&amp;")","")</f>
        <v/>
      </c>
      <c r="J5" s="15"/>
      <c r="K5" s="21" t="str">
        <f t="shared" si="2"/>
        <v/>
      </c>
    </row>
    <row r="6" spans="1:11" x14ac:dyDescent="0.25">
      <c r="A6" s="28">
        <v>2</v>
      </c>
      <c r="B6" s="43" t="s">
        <v>115</v>
      </c>
      <c r="C6" s="48" t="s">
        <v>99</v>
      </c>
      <c r="D6" s="15"/>
      <c r="E6" s="21" t="str">
        <f t="shared" si="0"/>
        <v/>
      </c>
      <c r="F6" s="15"/>
      <c r="G6" s="21" t="str">
        <f t="shared" si="1"/>
        <v/>
      </c>
      <c r="H6" s="15"/>
      <c r="I6" s="21" t="str">
        <f t="shared" si="2"/>
        <v/>
      </c>
      <c r="J6" s="15"/>
      <c r="K6" s="21" t="str">
        <f t="shared" si="2"/>
        <v/>
      </c>
    </row>
    <row r="7" spans="1:11" x14ac:dyDescent="0.25">
      <c r="A7" s="28">
        <v>3</v>
      </c>
      <c r="B7" s="43" t="s">
        <v>115</v>
      </c>
      <c r="C7" s="48" t="s">
        <v>99</v>
      </c>
      <c r="D7" s="15"/>
      <c r="E7" s="21" t="str">
        <f t="shared" si="0"/>
        <v/>
      </c>
      <c r="F7" s="15"/>
      <c r="G7" s="21" t="str">
        <f t="shared" si="1"/>
        <v/>
      </c>
      <c r="H7" s="15"/>
      <c r="I7" s="21" t="str">
        <f t="shared" si="2"/>
        <v/>
      </c>
      <c r="J7" s="15"/>
      <c r="K7" s="21" t="str">
        <f t="shared" si="2"/>
        <v/>
      </c>
    </row>
    <row r="8" spans="1:11" x14ac:dyDescent="0.25">
      <c r="A8" s="28">
        <v>4</v>
      </c>
      <c r="B8" s="43" t="s">
        <v>115</v>
      </c>
      <c r="C8" s="48" t="s">
        <v>99</v>
      </c>
      <c r="D8" s="15"/>
      <c r="E8" s="21" t="str">
        <f t="shared" si="0"/>
        <v/>
      </c>
      <c r="F8" s="15"/>
      <c r="G8" s="21" t="str">
        <f t="shared" si="1"/>
        <v/>
      </c>
      <c r="H8" s="15"/>
      <c r="I8" s="21" t="str">
        <f t="shared" si="2"/>
        <v/>
      </c>
      <c r="J8" s="15"/>
      <c r="K8" s="21" t="str">
        <f t="shared" si="2"/>
        <v/>
      </c>
    </row>
    <row r="9" spans="1:11" x14ac:dyDescent="0.25">
      <c r="A9" s="28">
        <v>5</v>
      </c>
      <c r="B9" s="43" t="s">
        <v>115</v>
      </c>
      <c r="C9" s="48" t="s">
        <v>99</v>
      </c>
      <c r="D9" s="15"/>
      <c r="E9" s="21" t="str">
        <f t="shared" si="0"/>
        <v/>
      </c>
      <c r="F9" s="15"/>
      <c r="G9" s="21" t="str">
        <f t="shared" si="1"/>
        <v/>
      </c>
      <c r="H9" s="15"/>
      <c r="I9" s="21" t="str">
        <f t="shared" si="2"/>
        <v/>
      </c>
      <c r="J9" s="15"/>
      <c r="K9" s="21" t="str">
        <f t="shared" si="2"/>
        <v/>
      </c>
    </row>
    <row r="10" spans="1:11" x14ac:dyDescent="0.25">
      <c r="A10" s="28">
        <v>6</v>
      </c>
      <c r="B10" s="43" t="s">
        <v>115</v>
      </c>
      <c r="C10" s="48" t="s">
        <v>99</v>
      </c>
      <c r="D10" s="15"/>
      <c r="E10" s="21" t="str">
        <f t="shared" si="0"/>
        <v/>
      </c>
      <c r="F10" s="15"/>
      <c r="G10" s="21" t="str">
        <f t="shared" si="1"/>
        <v/>
      </c>
      <c r="H10" s="15"/>
      <c r="I10" s="21" t="str">
        <f t="shared" si="2"/>
        <v/>
      </c>
      <c r="J10" s="15"/>
      <c r="K10" s="21" t="str">
        <f t="shared" si="2"/>
        <v/>
      </c>
    </row>
    <row r="11" spans="1:11" x14ac:dyDescent="0.25">
      <c r="A11" s="28">
        <v>7</v>
      </c>
      <c r="B11" s="43" t="s">
        <v>115</v>
      </c>
      <c r="C11" s="48" t="s">
        <v>99</v>
      </c>
      <c r="D11" s="15"/>
      <c r="E11" s="21" t="str">
        <f t="shared" si="0"/>
        <v/>
      </c>
      <c r="F11" s="15"/>
      <c r="G11" s="21" t="str">
        <f t="shared" si="1"/>
        <v/>
      </c>
      <c r="H11" s="15"/>
      <c r="I11" s="21" t="str">
        <f t="shared" si="2"/>
        <v/>
      </c>
      <c r="J11" s="15"/>
      <c r="K11" s="21" t="str">
        <f t="shared" si="2"/>
        <v/>
      </c>
    </row>
    <row r="12" spans="1:11" x14ac:dyDescent="0.25">
      <c r="A12" s="28">
        <v>8</v>
      </c>
      <c r="B12" s="43" t="s">
        <v>115</v>
      </c>
      <c r="C12" s="48" t="s">
        <v>99</v>
      </c>
      <c r="D12" s="15"/>
      <c r="E12" s="21" t="str">
        <f t="shared" si="0"/>
        <v/>
      </c>
      <c r="F12" s="15"/>
      <c r="G12" s="21" t="str">
        <f t="shared" si="1"/>
        <v/>
      </c>
      <c r="H12" s="15"/>
      <c r="I12" s="21" t="str">
        <f t="shared" si="2"/>
        <v/>
      </c>
      <c r="J12" s="15"/>
      <c r="K12" s="21" t="str">
        <f t="shared" si="2"/>
        <v/>
      </c>
    </row>
    <row r="13" spans="1:11" x14ac:dyDescent="0.25">
      <c r="A13" s="22" t="s">
        <v>27</v>
      </c>
      <c r="B13" s="46"/>
      <c r="C13" s="46"/>
      <c r="D13" s="22"/>
      <c r="E13" s="22"/>
      <c r="F13" s="22"/>
      <c r="G13" s="22"/>
      <c r="H13" s="22"/>
      <c r="I13" s="22"/>
      <c r="J13" s="22"/>
      <c r="K13" s="22"/>
    </row>
    <row r="14" spans="1:11" ht="23.25" x14ac:dyDescent="0.25">
      <c r="A14" s="20" t="s">
        <v>0</v>
      </c>
      <c r="B14" s="20" t="s">
        <v>30</v>
      </c>
      <c r="C14" s="20" t="s">
        <v>31</v>
      </c>
      <c r="D14" s="42" t="s">
        <v>7</v>
      </c>
      <c r="E14" s="20" t="s">
        <v>35</v>
      </c>
      <c r="F14" s="42" t="s">
        <v>7</v>
      </c>
      <c r="G14" s="20" t="s">
        <v>35</v>
      </c>
      <c r="H14" s="42" t="s">
        <v>7</v>
      </c>
      <c r="I14" s="20" t="s">
        <v>35</v>
      </c>
      <c r="J14" s="42" t="s">
        <v>7</v>
      </c>
      <c r="K14" s="20" t="s">
        <v>35</v>
      </c>
    </row>
    <row r="15" spans="1:11" x14ac:dyDescent="0.25">
      <c r="A15" s="28">
        <v>1</v>
      </c>
      <c r="B15" s="43" t="s">
        <v>115</v>
      </c>
      <c r="C15" s="43" t="s">
        <v>27</v>
      </c>
      <c r="D15" s="14"/>
      <c r="E15" s="21" t="str">
        <f t="shared" ref="E15:E22" si="3">IF(D15&gt;0,VLOOKUP(D15,Jumpers,3)&amp;", "&amp;VLOOKUP(D15,Jumpers,2)&amp;" ("&amp;VLOOKUP(D15,Jumpers,7)&amp;")","")</f>
        <v/>
      </c>
      <c r="F15" s="14"/>
      <c r="G15" s="21" t="str">
        <f t="shared" ref="G15:G22" si="4">IF(F15&gt;0,VLOOKUP(F15,Jumpers,3)&amp;", "&amp;VLOOKUP(F15,Jumpers,2)&amp;" ("&amp;VLOOKUP(F15,Jumpers,7)&amp;")","")</f>
        <v/>
      </c>
      <c r="H15" s="14"/>
      <c r="I15" s="21" t="str">
        <f t="shared" ref="I15:K22" si="5">IF(H15&gt;0,VLOOKUP(H15,Jumpers,3)&amp;", "&amp;VLOOKUP(H15,Jumpers,2)&amp;" ("&amp;VLOOKUP(H15,Jumpers,7)&amp;")","")</f>
        <v/>
      </c>
      <c r="J15" s="14"/>
      <c r="K15" s="21" t="str">
        <f t="shared" si="5"/>
        <v/>
      </c>
    </row>
    <row r="16" spans="1:11" x14ac:dyDescent="0.25">
      <c r="A16" s="28">
        <v>2</v>
      </c>
      <c r="B16" s="43" t="s">
        <v>115</v>
      </c>
      <c r="C16" s="43" t="s">
        <v>27</v>
      </c>
      <c r="D16" s="14"/>
      <c r="E16" s="21" t="str">
        <f t="shared" si="3"/>
        <v/>
      </c>
      <c r="F16" s="14"/>
      <c r="G16" s="21" t="str">
        <f t="shared" si="4"/>
        <v/>
      </c>
      <c r="H16" s="14"/>
      <c r="I16" s="21" t="str">
        <f t="shared" si="5"/>
        <v/>
      </c>
      <c r="J16" s="14"/>
      <c r="K16" s="21" t="str">
        <f t="shared" si="5"/>
        <v/>
      </c>
    </row>
    <row r="17" spans="1:11" x14ac:dyDescent="0.25">
      <c r="A17" s="28">
        <v>3</v>
      </c>
      <c r="B17" s="43" t="s">
        <v>115</v>
      </c>
      <c r="C17" s="43" t="s">
        <v>27</v>
      </c>
      <c r="D17" s="14"/>
      <c r="E17" s="21" t="str">
        <f t="shared" si="3"/>
        <v/>
      </c>
      <c r="F17" s="14"/>
      <c r="G17" s="21" t="str">
        <f t="shared" si="4"/>
        <v/>
      </c>
      <c r="H17" s="14"/>
      <c r="I17" s="21" t="str">
        <f t="shared" si="5"/>
        <v/>
      </c>
      <c r="J17" s="14"/>
      <c r="K17" s="21" t="str">
        <f t="shared" si="5"/>
        <v/>
      </c>
    </row>
    <row r="18" spans="1:11" x14ac:dyDescent="0.25">
      <c r="A18" s="28">
        <v>4</v>
      </c>
      <c r="B18" s="43" t="s">
        <v>115</v>
      </c>
      <c r="C18" s="43" t="s">
        <v>27</v>
      </c>
      <c r="D18" s="14"/>
      <c r="E18" s="21" t="str">
        <f t="shared" si="3"/>
        <v/>
      </c>
      <c r="F18" s="14"/>
      <c r="G18" s="21" t="str">
        <f t="shared" si="4"/>
        <v/>
      </c>
      <c r="H18" s="14"/>
      <c r="I18" s="21" t="str">
        <f t="shared" si="5"/>
        <v/>
      </c>
      <c r="J18" s="14"/>
      <c r="K18" s="21" t="str">
        <f t="shared" si="5"/>
        <v/>
      </c>
    </row>
    <row r="19" spans="1:11" x14ac:dyDescent="0.25">
      <c r="A19" s="28">
        <v>5</v>
      </c>
      <c r="B19" s="43" t="s">
        <v>115</v>
      </c>
      <c r="C19" s="43" t="s">
        <v>27</v>
      </c>
      <c r="D19" s="14"/>
      <c r="E19" s="21" t="str">
        <f t="shared" si="3"/>
        <v/>
      </c>
      <c r="F19" s="14"/>
      <c r="G19" s="21" t="str">
        <f t="shared" si="4"/>
        <v/>
      </c>
      <c r="H19" s="14"/>
      <c r="I19" s="21" t="str">
        <f t="shared" si="5"/>
        <v/>
      </c>
      <c r="J19" s="14"/>
      <c r="K19" s="21" t="str">
        <f t="shared" si="5"/>
        <v/>
      </c>
    </row>
    <row r="20" spans="1:11" x14ac:dyDescent="0.25">
      <c r="A20" s="28">
        <v>6</v>
      </c>
      <c r="B20" s="43" t="s">
        <v>115</v>
      </c>
      <c r="C20" s="43" t="s">
        <v>27</v>
      </c>
      <c r="D20" s="14"/>
      <c r="E20" s="21" t="str">
        <f t="shared" si="3"/>
        <v/>
      </c>
      <c r="F20" s="14"/>
      <c r="G20" s="21" t="str">
        <f t="shared" si="4"/>
        <v/>
      </c>
      <c r="H20" s="14"/>
      <c r="I20" s="21" t="str">
        <f t="shared" si="5"/>
        <v/>
      </c>
      <c r="J20" s="14"/>
      <c r="K20" s="21" t="str">
        <f t="shared" si="5"/>
        <v/>
      </c>
    </row>
    <row r="21" spans="1:11" x14ac:dyDescent="0.25">
      <c r="A21" s="28">
        <v>7</v>
      </c>
      <c r="B21" s="43" t="s">
        <v>115</v>
      </c>
      <c r="C21" s="43" t="s">
        <v>27</v>
      </c>
      <c r="D21" s="14"/>
      <c r="E21" s="21" t="str">
        <f t="shared" si="3"/>
        <v/>
      </c>
      <c r="F21" s="14"/>
      <c r="G21" s="21" t="str">
        <f t="shared" si="4"/>
        <v/>
      </c>
      <c r="H21" s="14"/>
      <c r="I21" s="21" t="str">
        <f t="shared" si="5"/>
        <v/>
      </c>
      <c r="J21" s="14"/>
      <c r="K21" s="21" t="str">
        <f t="shared" si="5"/>
        <v/>
      </c>
    </row>
    <row r="22" spans="1:11" x14ac:dyDescent="0.25">
      <c r="A22" s="28">
        <v>8</v>
      </c>
      <c r="B22" s="43" t="s">
        <v>115</v>
      </c>
      <c r="C22" s="43" t="s">
        <v>27</v>
      </c>
      <c r="D22" s="14"/>
      <c r="E22" s="21" t="str">
        <f t="shared" si="3"/>
        <v/>
      </c>
      <c r="F22" s="14"/>
      <c r="G22" s="21" t="str">
        <f t="shared" si="4"/>
        <v/>
      </c>
      <c r="H22" s="14"/>
      <c r="I22" s="21" t="str">
        <f t="shared" si="5"/>
        <v/>
      </c>
      <c r="J22" s="14"/>
      <c r="K22" s="21" t="str">
        <f t="shared" si="5"/>
        <v/>
      </c>
    </row>
    <row r="23" spans="1:11" x14ac:dyDescent="0.25">
      <c r="A23" s="22" t="s">
        <v>28</v>
      </c>
      <c r="B23" s="46"/>
      <c r="C23" s="46"/>
      <c r="D23" s="22"/>
      <c r="E23" s="22"/>
      <c r="F23" s="22"/>
      <c r="G23" s="22"/>
      <c r="H23" s="22"/>
      <c r="I23" s="22"/>
      <c r="J23" s="22"/>
      <c r="K23" s="22"/>
    </row>
    <row r="24" spans="1:11" ht="23.25" x14ac:dyDescent="0.25">
      <c r="A24" s="20" t="s">
        <v>0</v>
      </c>
      <c r="B24" s="20" t="s">
        <v>30</v>
      </c>
      <c r="C24" s="20" t="s">
        <v>31</v>
      </c>
      <c r="D24" s="42" t="s">
        <v>7</v>
      </c>
      <c r="E24" s="20" t="s">
        <v>35</v>
      </c>
      <c r="F24" s="42" t="s">
        <v>7</v>
      </c>
      <c r="G24" s="20" t="s">
        <v>35</v>
      </c>
      <c r="H24" s="42" t="s">
        <v>7</v>
      </c>
      <c r="I24" s="20" t="s">
        <v>35</v>
      </c>
      <c r="J24" s="42" t="s">
        <v>7</v>
      </c>
      <c r="K24" s="20" t="s">
        <v>35</v>
      </c>
    </row>
    <row r="25" spans="1:11" x14ac:dyDescent="0.25">
      <c r="A25" s="28">
        <v>1</v>
      </c>
      <c r="B25" s="43" t="s">
        <v>115</v>
      </c>
      <c r="C25" s="43" t="s">
        <v>28</v>
      </c>
      <c r="D25" s="14"/>
      <c r="E25" s="21" t="str">
        <f t="shared" ref="E25:E32" si="6">IF(D25&gt;0,VLOOKUP(D25,Jumpers,3)&amp;", "&amp;VLOOKUP(D25,Jumpers,2)&amp;" ("&amp;VLOOKUP(D25,Jumpers,7)&amp;")","")</f>
        <v/>
      </c>
      <c r="F25" s="14"/>
      <c r="G25" s="21" t="str">
        <f t="shared" ref="G25:G32" si="7">IF(F25&gt;0,VLOOKUP(F25,Jumpers,3)&amp;", "&amp;VLOOKUP(F25,Jumpers,2)&amp;" ("&amp;VLOOKUP(F25,Jumpers,7)&amp;")","")</f>
        <v/>
      </c>
      <c r="H25" s="14"/>
      <c r="I25" s="21" t="str">
        <f t="shared" ref="I25:K32" si="8">IF(H25&gt;0,VLOOKUP(H25,Jumpers,3)&amp;", "&amp;VLOOKUP(H25,Jumpers,2)&amp;" ("&amp;VLOOKUP(H25,Jumpers,7)&amp;")","")</f>
        <v/>
      </c>
      <c r="J25" s="14"/>
      <c r="K25" s="21" t="str">
        <f t="shared" si="8"/>
        <v/>
      </c>
    </row>
    <row r="26" spans="1:11" x14ac:dyDescent="0.25">
      <c r="A26" s="28">
        <v>2</v>
      </c>
      <c r="B26" s="43" t="s">
        <v>115</v>
      </c>
      <c r="C26" s="43" t="s">
        <v>28</v>
      </c>
      <c r="D26" s="14"/>
      <c r="E26" s="21" t="str">
        <f t="shared" si="6"/>
        <v/>
      </c>
      <c r="F26" s="14"/>
      <c r="G26" s="21" t="str">
        <f t="shared" si="7"/>
        <v/>
      </c>
      <c r="H26" s="14"/>
      <c r="I26" s="21" t="str">
        <f t="shared" si="8"/>
        <v/>
      </c>
      <c r="J26" s="14"/>
      <c r="K26" s="21" t="str">
        <f t="shared" si="8"/>
        <v/>
      </c>
    </row>
    <row r="27" spans="1:11" x14ac:dyDescent="0.25">
      <c r="A27" s="28">
        <v>3</v>
      </c>
      <c r="B27" s="43" t="s">
        <v>115</v>
      </c>
      <c r="C27" s="43" t="s">
        <v>28</v>
      </c>
      <c r="D27" s="14"/>
      <c r="E27" s="21" t="str">
        <f t="shared" si="6"/>
        <v/>
      </c>
      <c r="F27" s="14"/>
      <c r="G27" s="21" t="str">
        <f t="shared" si="7"/>
        <v/>
      </c>
      <c r="H27" s="14"/>
      <c r="I27" s="21" t="str">
        <f t="shared" si="8"/>
        <v/>
      </c>
      <c r="J27" s="14"/>
      <c r="K27" s="21" t="str">
        <f t="shared" si="8"/>
        <v/>
      </c>
    </row>
    <row r="28" spans="1:11" x14ac:dyDescent="0.25">
      <c r="A28" s="28">
        <v>4</v>
      </c>
      <c r="B28" s="43" t="s">
        <v>115</v>
      </c>
      <c r="C28" s="43" t="s">
        <v>28</v>
      </c>
      <c r="D28" s="14"/>
      <c r="E28" s="21" t="str">
        <f t="shared" si="6"/>
        <v/>
      </c>
      <c r="F28" s="14"/>
      <c r="G28" s="21" t="str">
        <f t="shared" si="7"/>
        <v/>
      </c>
      <c r="H28" s="14"/>
      <c r="I28" s="21" t="str">
        <f t="shared" si="8"/>
        <v/>
      </c>
      <c r="J28" s="14"/>
      <c r="K28" s="21" t="str">
        <f t="shared" si="8"/>
        <v/>
      </c>
    </row>
    <row r="29" spans="1:11" x14ac:dyDescent="0.25">
      <c r="A29" s="28">
        <v>5</v>
      </c>
      <c r="B29" s="43" t="s">
        <v>115</v>
      </c>
      <c r="C29" s="43" t="s">
        <v>28</v>
      </c>
      <c r="D29" s="14"/>
      <c r="E29" s="21" t="str">
        <f t="shared" si="6"/>
        <v/>
      </c>
      <c r="F29" s="14"/>
      <c r="G29" s="21" t="str">
        <f t="shared" si="7"/>
        <v/>
      </c>
      <c r="H29" s="14"/>
      <c r="I29" s="21" t="str">
        <f t="shared" si="8"/>
        <v/>
      </c>
      <c r="J29" s="14"/>
      <c r="K29" s="21" t="str">
        <f t="shared" si="8"/>
        <v/>
      </c>
    </row>
    <row r="30" spans="1:11" x14ac:dyDescent="0.25">
      <c r="A30" s="28">
        <v>6</v>
      </c>
      <c r="B30" s="43" t="s">
        <v>115</v>
      </c>
      <c r="C30" s="43" t="s">
        <v>28</v>
      </c>
      <c r="D30" s="14"/>
      <c r="E30" s="21" t="str">
        <f t="shared" si="6"/>
        <v/>
      </c>
      <c r="F30" s="14"/>
      <c r="G30" s="21" t="str">
        <f t="shared" si="7"/>
        <v/>
      </c>
      <c r="H30" s="14"/>
      <c r="I30" s="21" t="str">
        <f t="shared" si="8"/>
        <v/>
      </c>
      <c r="J30" s="14"/>
      <c r="K30" s="21" t="str">
        <f t="shared" si="8"/>
        <v/>
      </c>
    </row>
    <row r="31" spans="1:11" x14ac:dyDescent="0.25">
      <c r="A31" s="28">
        <v>7</v>
      </c>
      <c r="B31" s="43" t="s">
        <v>115</v>
      </c>
      <c r="C31" s="43" t="s">
        <v>28</v>
      </c>
      <c r="D31" s="14"/>
      <c r="E31" s="21" t="str">
        <f t="shared" si="6"/>
        <v/>
      </c>
      <c r="F31" s="14"/>
      <c r="G31" s="21" t="str">
        <f t="shared" si="7"/>
        <v/>
      </c>
      <c r="H31" s="14"/>
      <c r="I31" s="21" t="str">
        <f t="shared" si="8"/>
        <v/>
      </c>
      <c r="J31" s="14"/>
      <c r="K31" s="21" t="str">
        <f t="shared" si="8"/>
        <v/>
      </c>
    </row>
    <row r="32" spans="1:11" x14ac:dyDescent="0.25">
      <c r="A32" s="28">
        <v>8</v>
      </c>
      <c r="B32" s="43" t="s">
        <v>115</v>
      </c>
      <c r="C32" s="43" t="s">
        <v>28</v>
      </c>
      <c r="D32" s="14"/>
      <c r="E32" s="21" t="str">
        <f t="shared" si="6"/>
        <v/>
      </c>
      <c r="F32" s="14"/>
      <c r="G32" s="21" t="str">
        <f t="shared" si="7"/>
        <v/>
      </c>
      <c r="H32" s="14"/>
      <c r="I32" s="21" t="str">
        <f t="shared" si="8"/>
        <v/>
      </c>
      <c r="J32" s="14"/>
      <c r="K32" s="21" t="str">
        <f t="shared" si="8"/>
        <v/>
      </c>
    </row>
    <row r="33" spans="1:11" x14ac:dyDescent="0.25">
      <c r="A33" s="22" t="s">
        <v>29</v>
      </c>
      <c r="B33" s="46"/>
      <c r="C33" s="46"/>
      <c r="D33" s="22"/>
      <c r="E33" s="22"/>
      <c r="F33" s="22"/>
      <c r="G33" s="22"/>
      <c r="H33" s="22"/>
      <c r="I33" s="22"/>
      <c r="J33" s="22"/>
      <c r="K33" s="22"/>
    </row>
    <row r="34" spans="1:11" ht="23.25" x14ac:dyDescent="0.25">
      <c r="A34" s="20" t="s">
        <v>0</v>
      </c>
      <c r="B34" s="20" t="s">
        <v>30</v>
      </c>
      <c r="C34" s="20" t="s">
        <v>31</v>
      </c>
      <c r="D34" s="42" t="s">
        <v>7</v>
      </c>
      <c r="E34" s="20" t="s">
        <v>35</v>
      </c>
      <c r="F34" s="42" t="s">
        <v>7</v>
      </c>
      <c r="G34" s="20" t="s">
        <v>35</v>
      </c>
      <c r="H34" s="42" t="s">
        <v>7</v>
      </c>
      <c r="I34" s="20" t="s">
        <v>35</v>
      </c>
      <c r="J34" s="42" t="s">
        <v>7</v>
      </c>
      <c r="K34" s="20" t="s">
        <v>35</v>
      </c>
    </row>
    <row r="35" spans="1:11" x14ac:dyDescent="0.25">
      <c r="A35" s="28">
        <v>1</v>
      </c>
      <c r="B35" s="43" t="s">
        <v>115</v>
      </c>
      <c r="C35" s="43" t="s">
        <v>29</v>
      </c>
      <c r="D35" s="14"/>
      <c r="E35" s="21" t="str">
        <f t="shared" ref="E35:E42" si="9">IF(D35&gt;0,VLOOKUP(D35,Jumpers,3)&amp;", "&amp;VLOOKUP(D35,Jumpers,2)&amp;" ("&amp;VLOOKUP(D35,Jumpers,7)&amp;")","")</f>
        <v/>
      </c>
      <c r="F35" s="14"/>
      <c r="G35" s="21" t="str">
        <f t="shared" ref="G35:G42" si="10">IF(F35&gt;0,VLOOKUP(F35,Jumpers,3)&amp;", "&amp;VLOOKUP(F35,Jumpers,2)&amp;" ("&amp;VLOOKUP(F35,Jumpers,7)&amp;")","")</f>
        <v/>
      </c>
      <c r="H35" s="14"/>
      <c r="I35" s="21" t="str">
        <f t="shared" ref="I35:K42" si="11">IF(H35&gt;0,VLOOKUP(H35,Jumpers,3)&amp;", "&amp;VLOOKUP(H35,Jumpers,2)&amp;" ("&amp;VLOOKUP(H35,Jumpers,7)&amp;")","")</f>
        <v/>
      </c>
      <c r="J35" s="14"/>
      <c r="K35" s="21" t="str">
        <f t="shared" si="11"/>
        <v/>
      </c>
    </row>
    <row r="36" spans="1:11" x14ac:dyDescent="0.25">
      <c r="A36" s="28">
        <v>2</v>
      </c>
      <c r="B36" s="43" t="s">
        <v>115</v>
      </c>
      <c r="C36" s="43" t="s">
        <v>29</v>
      </c>
      <c r="D36" s="14"/>
      <c r="E36" s="21" t="str">
        <f t="shared" si="9"/>
        <v/>
      </c>
      <c r="F36" s="14"/>
      <c r="G36" s="21" t="str">
        <f t="shared" si="10"/>
        <v/>
      </c>
      <c r="H36" s="14"/>
      <c r="I36" s="21" t="str">
        <f t="shared" si="11"/>
        <v/>
      </c>
      <c r="J36" s="14"/>
      <c r="K36" s="21" t="str">
        <f t="shared" si="11"/>
        <v/>
      </c>
    </row>
    <row r="37" spans="1:11" x14ac:dyDescent="0.25">
      <c r="A37" s="28">
        <v>3</v>
      </c>
      <c r="B37" s="43" t="s">
        <v>115</v>
      </c>
      <c r="C37" s="43" t="s">
        <v>29</v>
      </c>
      <c r="D37" s="14"/>
      <c r="E37" s="21" t="str">
        <f t="shared" si="9"/>
        <v/>
      </c>
      <c r="F37" s="14"/>
      <c r="G37" s="21" t="str">
        <f t="shared" si="10"/>
        <v/>
      </c>
      <c r="H37" s="14"/>
      <c r="I37" s="21" t="str">
        <f t="shared" si="11"/>
        <v/>
      </c>
      <c r="J37" s="14"/>
      <c r="K37" s="21" t="str">
        <f t="shared" si="11"/>
        <v/>
      </c>
    </row>
    <row r="38" spans="1:11" x14ac:dyDescent="0.25">
      <c r="A38" s="28">
        <v>4</v>
      </c>
      <c r="B38" s="43" t="s">
        <v>115</v>
      </c>
      <c r="C38" s="43" t="s">
        <v>29</v>
      </c>
      <c r="D38" s="14"/>
      <c r="E38" s="21" t="str">
        <f t="shared" si="9"/>
        <v/>
      </c>
      <c r="F38" s="14"/>
      <c r="G38" s="21" t="str">
        <f t="shared" si="10"/>
        <v/>
      </c>
      <c r="H38" s="14"/>
      <c r="I38" s="21" t="str">
        <f t="shared" si="11"/>
        <v/>
      </c>
      <c r="J38" s="14"/>
      <c r="K38" s="21" t="str">
        <f t="shared" si="11"/>
        <v/>
      </c>
    </row>
    <row r="39" spans="1:11" x14ac:dyDescent="0.25">
      <c r="A39" s="28">
        <v>5</v>
      </c>
      <c r="B39" s="43" t="s">
        <v>115</v>
      </c>
      <c r="C39" s="43" t="s">
        <v>29</v>
      </c>
      <c r="D39" s="14"/>
      <c r="E39" s="21" t="str">
        <f t="shared" si="9"/>
        <v/>
      </c>
      <c r="F39" s="14"/>
      <c r="G39" s="21" t="str">
        <f t="shared" si="10"/>
        <v/>
      </c>
      <c r="H39" s="14"/>
      <c r="I39" s="21" t="str">
        <f t="shared" si="11"/>
        <v/>
      </c>
      <c r="J39" s="14"/>
      <c r="K39" s="21" t="str">
        <f t="shared" si="11"/>
        <v/>
      </c>
    </row>
    <row r="40" spans="1:11" x14ac:dyDescent="0.25">
      <c r="A40" s="28">
        <v>6</v>
      </c>
      <c r="B40" s="43" t="s">
        <v>115</v>
      </c>
      <c r="C40" s="43" t="s">
        <v>29</v>
      </c>
      <c r="D40" s="14"/>
      <c r="E40" s="21" t="str">
        <f t="shared" si="9"/>
        <v/>
      </c>
      <c r="F40" s="14"/>
      <c r="G40" s="21" t="str">
        <f t="shared" si="10"/>
        <v/>
      </c>
      <c r="H40" s="14"/>
      <c r="I40" s="21" t="str">
        <f t="shared" si="11"/>
        <v/>
      </c>
      <c r="J40" s="14"/>
      <c r="K40" s="21" t="str">
        <f t="shared" si="11"/>
        <v/>
      </c>
    </row>
    <row r="41" spans="1:11" x14ac:dyDescent="0.25">
      <c r="A41" s="28">
        <v>7</v>
      </c>
      <c r="B41" s="43" t="s">
        <v>115</v>
      </c>
      <c r="C41" s="43" t="s">
        <v>29</v>
      </c>
      <c r="D41" s="14"/>
      <c r="E41" s="21" t="str">
        <f t="shared" si="9"/>
        <v/>
      </c>
      <c r="F41" s="14"/>
      <c r="G41" s="21" t="str">
        <f t="shared" si="10"/>
        <v/>
      </c>
      <c r="H41" s="14"/>
      <c r="I41" s="21" t="str">
        <f t="shared" si="11"/>
        <v/>
      </c>
      <c r="J41" s="14"/>
      <c r="K41" s="21" t="str">
        <f t="shared" si="11"/>
        <v/>
      </c>
    </row>
    <row r="42" spans="1:11" x14ac:dyDescent="0.25">
      <c r="A42" s="28">
        <v>8</v>
      </c>
      <c r="B42" s="43" t="s">
        <v>115</v>
      </c>
      <c r="C42" s="43" t="s">
        <v>29</v>
      </c>
      <c r="D42" s="14"/>
      <c r="E42" s="21" t="str">
        <f t="shared" si="9"/>
        <v/>
      </c>
      <c r="F42" s="14"/>
      <c r="G42" s="21" t="str">
        <f t="shared" si="10"/>
        <v/>
      </c>
      <c r="H42" s="14"/>
      <c r="I42" s="21" t="str">
        <f t="shared" si="11"/>
        <v/>
      </c>
      <c r="J42" s="14"/>
      <c r="K42" s="21" t="str">
        <f t="shared" si="11"/>
        <v/>
      </c>
    </row>
  </sheetData>
  <sheetProtection password="CE88" sheet="1" objects="1" scenarios="1" selectLockedCells="1"/>
  <mergeCells count="1">
    <mergeCell ref="A2:K2"/>
  </mergeCells>
  <conditionalFormatting sqref="D5:D12 F5:F12 H5:H12 J5:J12 D15:D22 F15:F22 H15:H22 J15:J22 D25:D32 F25:F32 H25:H32 J25:J32 D35:D42 F35:F42 H35:H42 J35:J42">
    <cfRule type="expression" dxfId="11" priority="1" stopIfTrue="1">
      <formula>OR(CODE(D5)&lt;49,CODE(D5)&gt;57)</formula>
    </cfRule>
    <cfRule type="expression" dxfId="10" priority="2" stopIfTrue="1">
      <formula>AND(D5&lt;&gt;"",COUNTIF($D$5:$D$102,D5) +COUNTIF($F$5:$F$102,D5)+COUNTIF($H$5:$H$102,D5)+COUNTIF($J$5:$J$102,D5)&gt;1)</formula>
    </cfRule>
  </conditionalFormatting>
  <conditionalFormatting sqref="D5:D12 F5:F12 H5:H12 J5:J12">
    <cfRule type="expression" dxfId="9" priority="19" stopIfTrue="1">
      <formula>VLOOKUP(D5,Jumpers,7)&gt;12</formula>
    </cfRule>
  </conditionalFormatting>
  <conditionalFormatting sqref="D15:D22 F15:F22 H15:H22 J15:J22">
    <cfRule type="expression" dxfId="8" priority="5" stopIfTrue="1">
      <formula>VLOOKUP(D15,Jumpers,7)&gt;14</formula>
    </cfRule>
    <cfRule type="expression" dxfId="7" priority="17" stopIfTrue="1">
      <formula>AND($D15&lt;&gt;"",$F15&lt;&gt;"",$H15&lt;&gt;"",$J15&lt;&gt;"",AND(OR(VLOOKUP($D15,Jumpers,7)&gt;14,VLOOKUP($D15,Jumpers,7)&lt;13),OR(VLOOKUP($F15,Jumpers,7)&gt;14,VLOOKUP($F15,Jumpers,7)&lt;13),OR(VLOOKUP($H15,Jumpers,7)&gt;14,VLOOKUP($H15,Jumpers,7)&lt;13),OR(VLOOKUP($J15,Jumpers,7)&gt;14,VLOOKUP($J15,Jumpers,7)&lt;13)))</formula>
    </cfRule>
  </conditionalFormatting>
  <conditionalFormatting sqref="D25:D32 F25:F32 H25:H32 J25:J32">
    <cfRule type="expression" dxfId="6" priority="4" stopIfTrue="1">
      <formula>VLOOKUP(D25,Jumpers,7)&gt;17</formula>
    </cfRule>
    <cfRule type="expression" dxfId="5" priority="16" stopIfTrue="1">
      <formula>AND($D25&lt;&gt;"",$F25&lt;&gt;"",$H25&lt;&gt;"",$J25&lt;&gt;"",AND(OR(VLOOKUP($D25,Jumpers,7)&gt;17,VLOOKUP($D25,Jumpers,7)&lt;15),OR(VLOOKUP($F25,Jumpers,7)&gt;17,VLOOKUP($F25,Jumpers,7)&lt;15),OR(VLOOKUP($H25,Jumpers,7)&gt;17,VLOOKUP($H25,Jumpers,7)&lt;15),OR(VLOOKUP($J25,Jumpers,7)&gt;17,VLOOKUP($J25,Jumpers,7)&lt;15)))</formula>
    </cfRule>
  </conditionalFormatting>
  <conditionalFormatting sqref="D35:D42 F35:F42 H35:H42 J35:J42">
    <cfRule type="expression" dxfId="4" priority="3">
      <formula>AND($D35&lt;&gt;"",$F35&lt;&gt;"",$H35&lt;&gt;"",$J35&lt;&gt;"",AND(OR(VLOOKUP($D35,Jumpers,7)&gt;22,VLOOKUP($D35,Jumpers,7)&lt;18),OR(VLOOKUP($F35,Jumpers,7)&gt;22,VLOOKUP($F35,Jumpers,7)&lt;18),OR(VLOOKUP($H35,Jumpers,7)&gt;22,VLOOKUP($H35,Jumpers,7)&lt;18),OR(VLOOKUP($J35,Jumpers,7)&gt;22,VLOOKUP($J35,Jumpers,7)&lt;18)))</formula>
    </cfRule>
  </conditionalFormatting>
  <pageMargins left="0.25" right="0.25" top="0.75" bottom="0.75" header="0.3" footer="0.3"/>
  <pageSetup scale="75" orientation="portrait"/>
  <headerFooter>
    <oddHeader>&amp;LAAU Regional Tournament&amp;R&amp;A</oddHeader>
    <oddFooter>&amp;RPage &amp;P of &amp;N</oddFooter>
  </headerFooter>
  <customProperties>
    <customPr name="DVSECTION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22"/>
  <sheetViews>
    <sheetView workbookViewId="0">
      <selection activeCell="F22" sqref="F22"/>
    </sheetView>
  </sheetViews>
  <sheetFormatPr defaultColWidth="8.85546875" defaultRowHeight="15" x14ac:dyDescent="0.25"/>
  <cols>
    <col min="1" max="1" width="2.7109375" customWidth="1"/>
    <col min="2" max="2" width="4.7109375" bestFit="1" customWidth="1"/>
    <col min="3" max="3" width="7.140625" bestFit="1" customWidth="1"/>
    <col min="4" max="4" width="8.28515625" bestFit="1" customWidth="1"/>
    <col min="5" max="5" width="20.7109375" customWidth="1"/>
    <col min="6" max="6" width="8.28515625" bestFit="1" customWidth="1"/>
    <col min="7" max="7" width="20.7109375" customWidth="1"/>
    <col min="8" max="8" width="8.28515625" bestFit="1" customWidth="1"/>
    <col min="9" max="9" width="20.7109375" customWidth="1"/>
    <col min="10" max="10" width="8.28515625" bestFit="1" customWidth="1"/>
    <col min="11" max="11" width="20.7109375" customWidth="1"/>
  </cols>
  <sheetData>
    <row r="1" spans="1:11" ht="18.75" x14ac:dyDescent="0.3">
      <c r="A1" s="50" t="s">
        <v>113</v>
      </c>
      <c r="K1" s="34" t="str">
        <f>CONCATENATE("Team: ",'Team Info'!$B$3)</f>
        <v xml:space="preserve">Team: </v>
      </c>
    </row>
    <row r="2" spans="1:11" ht="26.25" customHeight="1" x14ac:dyDescent="0.25">
      <c r="A2" s="113" t="s">
        <v>133</v>
      </c>
      <c r="B2" s="114"/>
      <c r="C2" s="114"/>
      <c r="D2" s="114"/>
      <c r="E2" s="114"/>
      <c r="F2" s="114"/>
      <c r="G2" s="114"/>
      <c r="H2" s="114"/>
      <c r="I2" s="114"/>
      <c r="J2" s="114"/>
      <c r="K2" s="114"/>
    </row>
    <row r="3" spans="1:11" x14ac:dyDescent="0.25">
      <c r="A3" s="22" t="s">
        <v>117</v>
      </c>
      <c r="B3" s="46"/>
      <c r="C3" s="46"/>
      <c r="D3" s="22"/>
      <c r="E3" s="22"/>
      <c r="F3" s="22"/>
      <c r="G3" s="22"/>
      <c r="H3" s="22"/>
      <c r="I3" s="22"/>
      <c r="J3" s="22"/>
      <c r="K3" s="22"/>
    </row>
    <row r="4" spans="1:11" ht="23.25" x14ac:dyDescent="0.25">
      <c r="A4" s="20" t="s">
        <v>0</v>
      </c>
      <c r="B4" s="20" t="s">
        <v>30</v>
      </c>
      <c r="C4" s="20" t="s">
        <v>31</v>
      </c>
      <c r="D4" s="42" t="s">
        <v>7</v>
      </c>
      <c r="E4" s="20" t="s">
        <v>35</v>
      </c>
      <c r="F4" s="42" t="s">
        <v>7</v>
      </c>
      <c r="G4" s="20" t="s">
        <v>35</v>
      </c>
      <c r="H4" s="42" t="s">
        <v>7</v>
      </c>
      <c r="I4" s="20" t="s">
        <v>35</v>
      </c>
      <c r="J4" s="42" t="s">
        <v>7</v>
      </c>
      <c r="K4" s="20" t="s">
        <v>35</v>
      </c>
    </row>
    <row r="5" spans="1:11" x14ac:dyDescent="0.25">
      <c r="A5" s="28">
        <v>1</v>
      </c>
      <c r="B5" s="43" t="s">
        <v>116</v>
      </c>
      <c r="C5" s="43" t="s">
        <v>117</v>
      </c>
      <c r="D5" s="14"/>
      <c r="E5" s="21" t="str">
        <f t="shared" ref="E5:E12" si="0">IF(D5&gt;0,VLOOKUP(D5,Jumpers,3)&amp;", "&amp;VLOOKUP(D5,Jumpers,2)&amp;" ("&amp;VLOOKUP(D5,Jumpers,7)&amp;")","")</f>
        <v/>
      </c>
      <c r="F5" s="14"/>
      <c r="G5" s="21" t="str">
        <f t="shared" ref="G5:G12" si="1">IF(F5&gt;0,VLOOKUP(F5,Jumpers,3)&amp;", "&amp;VLOOKUP(F5,Jumpers,2)&amp;" ("&amp;VLOOKUP(F5,Jumpers,7)&amp;")","")</f>
        <v/>
      </c>
      <c r="H5" s="14"/>
      <c r="I5" s="21" t="str">
        <f t="shared" ref="I5:K12" si="2">IF(H5&gt;0,VLOOKUP(H5,Jumpers,3)&amp;", "&amp;VLOOKUP(H5,Jumpers,2)&amp;" ("&amp;VLOOKUP(H5,Jumpers,7)&amp;")","")</f>
        <v/>
      </c>
      <c r="J5" s="14"/>
      <c r="K5" s="21" t="str">
        <f t="shared" si="2"/>
        <v/>
      </c>
    </row>
    <row r="6" spans="1:11" x14ac:dyDescent="0.25">
      <c r="A6" s="28">
        <v>2</v>
      </c>
      <c r="B6" s="43" t="s">
        <v>116</v>
      </c>
      <c r="C6" s="43" t="s">
        <v>117</v>
      </c>
      <c r="D6" s="14"/>
      <c r="E6" s="21" t="str">
        <f t="shared" si="0"/>
        <v/>
      </c>
      <c r="F6" s="14"/>
      <c r="G6" s="21" t="str">
        <f t="shared" si="1"/>
        <v/>
      </c>
      <c r="H6" s="14"/>
      <c r="I6" s="21" t="str">
        <f t="shared" si="2"/>
        <v/>
      </c>
      <c r="J6" s="14"/>
      <c r="K6" s="21" t="str">
        <f t="shared" si="2"/>
        <v/>
      </c>
    </row>
    <row r="7" spans="1:11" x14ac:dyDescent="0.25">
      <c r="A7" s="28">
        <v>3</v>
      </c>
      <c r="B7" s="43" t="s">
        <v>116</v>
      </c>
      <c r="C7" s="43" t="s">
        <v>117</v>
      </c>
      <c r="D7" s="14"/>
      <c r="E7" s="21" t="str">
        <f t="shared" si="0"/>
        <v/>
      </c>
      <c r="F7" s="14"/>
      <c r="G7" s="21" t="str">
        <f t="shared" si="1"/>
        <v/>
      </c>
      <c r="H7" s="14"/>
      <c r="I7" s="21" t="str">
        <f t="shared" si="2"/>
        <v/>
      </c>
      <c r="J7" s="14"/>
      <c r="K7" s="21" t="str">
        <f t="shared" si="2"/>
        <v/>
      </c>
    </row>
    <row r="8" spans="1:11" x14ac:dyDescent="0.25">
      <c r="A8" s="28">
        <v>4</v>
      </c>
      <c r="B8" s="43" t="s">
        <v>116</v>
      </c>
      <c r="C8" s="43" t="s">
        <v>117</v>
      </c>
      <c r="D8" s="14"/>
      <c r="E8" s="21" t="str">
        <f t="shared" si="0"/>
        <v/>
      </c>
      <c r="F8" s="14"/>
      <c r="G8" s="21" t="str">
        <f t="shared" si="1"/>
        <v/>
      </c>
      <c r="H8" s="14"/>
      <c r="I8" s="21" t="str">
        <f t="shared" si="2"/>
        <v/>
      </c>
      <c r="J8" s="14"/>
      <c r="K8" s="21" t="str">
        <f t="shared" si="2"/>
        <v/>
      </c>
    </row>
    <row r="9" spans="1:11" x14ac:dyDescent="0.25">
      <c r="A9" s="28">
        <v>5</v>
      </c>
      <c r="B9" s="43" t="s">
        <v>116</v>
      </c>
      <c r="C9" s="43" t="s">
        <v>117</v>
      </c>
      <c r="D9" s="14"/>
      <c r="E9" s="21" t="str">
        <f t="shared" si="0"/>
        <v/>
      </c>
      <c r="F9" s="14"/>
      <c r="G9" s="21" t="str">
        <f t="shared" si="1"/>
        <v/>
      </c>
      <c r="H9" s="14"/>
      <c r="I9" s="21" t="str">
        <f t="shared" si="2"/>
        <v/>
      </c>
      <c r="J9" s="14"/>
      <c r="K9" s="21" t="str">
        <f t="shared" si="2"/>
        <v/>
      </c>
    </row>
    <row r="10" spans="1:11" x14ac:dyDescent="0.25">
      <c r="A10" s="28">
        <v>6</v>
      </c>
      <c r="B10" s="43" t="s">
        <v>116</v>
      </c>
      <c r="C10" s="43" t="s">
        <v>117</v>
      </c>
      <c r="D10" s="14"/>
      <c r="E10" s="21" t="str">
        <f t="shared" si="0"/>
        <v/>
      </c>
      <c r="F10" s="14"/>
      <c r="G10" s="21" t="str">
        <f t="shared" si="1"/>
        <v/>
      </c>
      <c r="H10" s="14"/>
      <c r="I10" s="21" t="str">
        <f t="shared" si="2"/>
        <v/>
      </c>
      <c r="J10" s="14"/>
      <c r="K10" s="21" t="str">
        <f t="shared" si="2"/>
        <v/>
      </c>
    </row>
    <row r="11" spans="1:11" x14ac:dyDescent="0.25">
      <c r="A11" s="28">
        <v>7</v>
      </c>
      <c r="B11" s="43" t="s">
        <v>116</v>
      </c>
      <c r="C11" s="43" t="s">
        <v>117</v>
      </c>
      <c r="D11" s="14"/>
      <c r="E11" s="21" t="str">
        <f t="shared" si="0"/>
        <v/>
      </c>
      <c r="F11" s="14"/>
      <c r="G11" s="21" t="str">
        <f t="shared" si="1"/>
        <v/>
      </c>
      <c r="H11" s="14"/>
      <c r="I11" s="21" t="str">
        <f t="shared" si="2"/>
        <v/>
      </c>
      <c r="J11" s="14"/>
      <c r="K11" s="21" t="str">
        <f t="shared" si="2"/>
        <v/>
      </c>
    </row>
    <row r="12" spans="1:11" x14ac:dyDescent="0.25">
      <c r="A12" s="28">
        <v>8</v>
      </c>
      <c r="B12" s="43" t="s">
        <v>116</v>
      </c>
      <c r="C12" s="43" t="s">
        <v>117</v>
      </c>
      <c r="D12" s="14"/>
      <c r="E12" s="21" t="str">
        <f t="shared" si="0"/>
        <v/>
      </c>
      <c r="F12" s="14"/>
      <c r="G12" s="21" t="str">
        <f t="shared" si="1"/>
        <v/>
      </c>
      <c r="H12" s="14"/>
      <c r="I12" s="21" t="str">
        <f t="shared" si="2"/>
        <v/>
      </c>
      <c r="J12" s="14"/>
      <c r="K12" s="21" t="str">
        <f t="shared" si="2"/>
        <v/>
      </c>
    </row>
    <row r="13" spans="1:11" x14ac:dyDescent="0.25">
      <c r="A13" s="22" t="s">
        <v>118</v>
      </c>
      <c r="B13" s="46"/>
      <c r="C13" s="46"/>
      <c r="D13" s="22"/>
      <c r="E13" s="22"/>
      <c r="F13" s="22"/>
      <c r="G13" s="22"/>
      <c r="H13" s="22"/>
      <c r="I13" s="22"/>
      <c r="J13" s="22"/>
      <c r="K13" s="22"/>
    </row>
    <row r="14" spans="1:11" ht="23.25" x14ac:dyDescent="0.25">
      <c r="A14" s="20" t="s">
        <v>0</v>
      </c>
      <c r="B14" s="20" t="s">
        <v>30</v>
      </c>
      <c r="C14" s="20" t="s">
        <v>31</v>
      </c>
      <c r="D14" s="42" t="s">
        <v>7</v>
      </c>
      <c r="E14" s="20" t="s">
        <v>35</v>
      </c>
      <c r="F14" s="42" t="s">
        <v>7</v>
      </c>
      <c r="G14" s="20" t="s">
        <v>35</v>
      </c>
      <c r="H14" s="42" t="s">
        <v>7</v>
      </c>
      <c r="I14" s="20" t="s">
        <v>35</v>
      </c>
      <c r="J14" s="42" t="s">
        <v>7</v>
      </c>
      <c r="K14" s="20" t="s">
        <v>35</v>
      </c>
    </row>
    <row r="15" spans="1:11" x14ac:dyDescent="0.25">
      <c r="A15" s="28">
        <v>1</v>
      </c>
      <c r="B15" s="43" t="s">
        <v>116</v>
      </c>
      <c r="C15" s="43" t="s">
        <v>118</v>
      </c>
      <c r="D15" s="14"/>
      <c r="E15" s="21" t="str">
        <f t="shared" ref="E15:E22" si="3">IF(D15&gt;0,VLOOKUP(D15,Jumpers,3)&amp;", "&amp;VLOOKUP(D15,Jumpers,2)&amp;" ("&amp;VLOOKUP(D15,Jumpers,7)&amp;")","")</f>
        <v/>
      </c>
      <c r="F15" s="14"/>
      <c r="G15" s="21" t="str">
        <f t="shared" ref="G15:G22" si="4">IF(F15&gt;0,VLOOKUP(F15,Jumpers,3)&amp;", "&amp;VLOOKUP(F15,Jumpers,2)&amp;" ("&amp;VLOOKUP(F15,Jumpers,7)&amp;")","")</f>
        <v/>
      </c>
      <c r="H15" s="14"/>
      <c r="I15" s="21" t="str">
        <f t="shared" ref="I15:K22" si="5">IF(H15&gt;0,VLOOKUP(H15,Jumpers,3)&amp;", "&amp;VLOOKUP(H15,Jumpers,2)&amp;" ("&amp;VLOOKUP(H15,Jumpers,7)&amp;")","")</f>
        <v/>
      </c>
      <c r="J15" s="14"/>
      <c r="K15" s="21" t="str">
        <f t="shared" si="5"/>
        <v/>
      </c>
    </row>
    <row r="16" spans="1:11" x14ac:dyDescent="0.25">
      <c r="A16" s="28">
        <v>2</v>
      </c>
      <c r="B16" s="43" t="s">
        <v>116</v>
      </c>
      <c r="C16" s="43" t="s">
        <v>118</v>
      </c>
      <c r="D16" s="14"/>
      <c r="E16" s="21" t="str">
        <f t="shared" si="3"/>
        <v/>
      </c>
      <c r="F16" s="14"/>
      <c r="G16" s="21" t="str">
        <f t="shared" si="4"/>
        <v/>
      </c>
      <c r="H16" s="14"/>
      <c r="I16" s="21" t="str">
        <f t="shared" si="5"/>
        <v/>
      </c>
      <c r="J16" s="14"/>
      <c r="K16" s="21" t="str">
        <f t="shared" si="5"/>
        <v/>
      </c>
    </row>
    <row r="17" spans="1:11" x14ac:dyDescent="0.25">
      <c r="A17" s="28">
        <v>3</v>
      </c>
      <c r="B17" s="43" t="s">
        <v>116</v>
      </c>
      <c r="C17" s="43" t="s">
        <v>118</v>
      </c>
      <c r="D17" s="14"/>
      <c r="E17" s="21" t="str">
        <f t="shared" si="3"/>
        <v/>
      </c>
      <c r="F17" s="14"/>
      <c r="G17" s="21" t="str">
        <f t="shared" si="4"/>
        <v/>
      </c>
      <c r="H17" s="14"/>
      <c r="I17" s="21" t="str">
        <f t="shared" si="5"/>
        <v/>
      </c>
      <c r="J17" s="14"/>
      <c r="K17" s="21" t="str">
        <f t="shared" si="5"/>
        <v/>
      </c>
    </row>
    <row r="18" spans="1:11" x14ac:dyDescent="0.25">
      <c r="A18" s="28">
        <v>4</v>
      </c>
      <c r="B18" s="43" t="s">
        <v>116</v>
      </c>
      <c r="C18" s="43" t="s">
        <v>118</v>
      </c>
      <c r="D18" s="14"/>
      <c r="E18" s="21" t="str">
        <f t="shared" si="3"/>
        <v/>
      </c>
      <c r="F18" s="14"/>
      <c r="G18" s="21" t="str">
        <f t="shared" si="4"/>
        <v/>
      </c>
      <c r="H18" s="14"/>
      <c r="I18" s="21" t="str">
        <f t="shared" si="5"/>
        <v/>
      </c>
      <c r="J18" s="14"/>
      <c r="K18" s="21" t="str">
        <f t="shared" si="5"/>
        <v/>
      </c>
    </row>
    <row r="19" spans="1:11" x14ac:dyDescent="0.25">
      <c r="A19" s="28">
        <v>5</v>
      </c>
      <c r="B19" s="43" t="s">
        <v>116</v>
      </c>
      <c r="C19" s="43" t="s">
        <v>118</v>
      </c>
      <c r="D19" s="14"/>
      <c r="E19" s="21" t="str">
        <f t="shared" si="3"/>
        <v/>
      </c>
      <c r="F19" s="14"/>
      <c r="G19" s="21" t="str">
        <f t="shared" si="4"/>
        <v/>
      </c>
      <c r="H19" s="14"/>
      <c r="I19" s="21" t="str">
        <f t="shared" si="5"/>
        <v/>
      </c>
      <c r="J19" s="14"/>
      <c r="K19" s="21" t="str">
        <f t="shared" si="5"/>
        <v/>
      </c>
    </row>
    <row r="20" spans="1:11" x14ac:dyDescent="0.25">
      <c r="A20" s="28">
        <v>6</v>
      </c>
      <c r="B20" s="43" t="s">
        <v>116</v>
      </c>
      <c r="C20" s="43" t="s">
        <v>118</v>
      </c>
      <c r="D20" s="14"/>
      <c r="E20" s="21" t="str">
        <f t="shared" si="3"/>
        <v/>
      </c>
      <c r="F20" s="14"/>
      <c r="G20" s="21" t="str">
        <f t="shared" si="4"/>
        <v/>
      </c>
      <c r="H20" s="14"/>
      <c r="I20" s="21" t="str">
        <f t="shared" si="5"/>
        <v/>
      </c>
      <c r="J20" s="14"/>
      <c r="K20" s="21" t="str">
        <f t="shared" si="5"/>
        <v/>
      </c>
    </row>
    <row r="21" spans="1:11" x14ac:dyDescent="0.25">
      <c r="A21" s="28">
        <v>7</v>
      </c>
      <c r="B21" s="43" t="s">
        <v>116</v>
      </c>
      <c r="C21" s="43" t="s">
        <v>118</v>
      </c>
      <c r="D21" s="14"/>
      <c r="E21" s="21" t="str">
        <f t="shared" si="3"/>
        <v/>
      </c>
      <c r="F21" s="14"/>
      <c r="G21" s="21" t="str">
        <f t="shared" si="4"/>
        <v/>
      </c>
      <c r="H21" s="14"/>
      <c r="I21" s="21" t="str">
        <f t="shared" si="5"/>
        <v/>
      </c>
      <c r="J21" s="14"/>
      <c r="K21" s="21" t="str">
        <f t="shared" si="5"/>
        <v/>
      </c>
    </row>
    <row r="22" spans="1:11" x14ac:dyDescent="0.25">
      <c r="A22" s="28">
        <v>8</v>
      </c>
      <c r="B22" s="43" t="s">
        <v>116</v>
      </c>
      <c r="C22" s="43" t="s">
        <v>118</v>
      </c>
      <c r="D22" s="14"/>
      <c r="E22" s="21" t="str">
        <f t="shared" si="3"/>
        <v/>
      </c>
      <c r="F22" s="14"/>
      <c r="G22" s="21" t="str">
        <f t="shared" si="4"/>
        <v/>
      </c>
      <c r="H22" s="14"/>
      <c r="I22" s="21" t="str">
        <f t="shared" si="5"/>
        <v/>
      </c>
      <c r="J22" s="14"/>
      <c r="K22" s="21" t="str">
        <f t="shared" si="5"/>
        <v/>
      </c>
    </row>
  </sheetData>
  <sheetProtection password="CE88" sheet="1" objects="1" scenarios="1" selectLockedCells="1"/>
  <mergeCells count="1">
    <mergeCell ref="A2:K2"/>
  </mergeCells>
  <conditionalFormatting sqref="D5:D12 F5:F12 H5:H12 J5:J12 D15:D22 F15:F22 H15:H22 J15:J22">
    <cfRule type="expression" dxfId="3" priority="1" stopIfTrue="1">
      <formula>OR(CODE(D5)&lt;49,CODE(D5)&gt;57)</formula>
    </cfRule>
    <cfRule type="expression" dxfId="2" priority="2" stopIfTrue="1">
      <formula>AND(D5&lt;&gt;"",COUNTIF($D$5:$D$102,D5) +COUNTIF($F$5:$F$102,D5)+COUNTIF($H$5:$H$102,D5) +COUNTIF($J$5:$J$102,D5)&gt;1)</formula>
    </cfRule>
  </conditionalFormatting>
  <conditionalFormatting sqref="D5:D12 F5:F12 H5:H12 J5:J12">
    <cfRule type="expression" dxfId="1" priority="7" stopIfTrue="1">
      <formula>VLOOKUP(D5,Jumpers,7)&gt;14</formula>
    </cfRule>
  </conditionalFormatting>
  <conditionalFormatting sqref="D15:D22 F15:F22 H15:H22 J15:J22">
    <cfRule type="expression" dxfId="0" priority="8" stopIfTrue="1">
      <formula>AND($D15&lt;&gt;"",$F15&lt;&gt;"",$H15&lt;&gt;"",$J15&lt;&gt;"",AND(OR(VLOOKUP($D15,Jumpers,7)&gt;22,VLOOKUP($D15,Jumpers,7)&lt;15),OR(VLOOKUP($F15,Jumpers,7)&gt;22,VLOOKUP($F15,Jumpers,7)&lt;15),OR(VLOOKUP($H15,Jumpers,7)&gt;22,VLOOKUP($H15,Jumpers,7)&lt;15),OR(VLOOKUP($J15,Jumpers,7)&gt;22,VLOOKUP($J15,Jumpers,7)&lt;15)))</formula>
    </cfRule>
  </conditionalFormatting>
  <pageMargins left="0.25" right="0.25" top="0.75" bottom="0.75" header="0.3" footer="0.3"/>
  <pageSetup scale="75" orientation="portrait"/>
  <headerFooter>
    <oddHeader>&amp;LAAU Regional Tournament&amp;R&amp;A</oddHeader>
    <oddFooter>&amp;RPage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1"/>
  </sheetPr>
  <dimension ref="A1:L21"/>
  <sheetViews>
    <sheetView workbookViewId="0">
      <selection activeCell="A368" sqref="A368"/>
    </sheetView>
  </sheetViews>
  <sheetFormatPr defaultColWidth="8.85546875" defaultRowHeight="15" x14ac:dyDescent="0.25"/>
  <cols>
    <col min="1" max="1" width="7.42578125" customWidth="1"/>
    <col min="2" max="2" width="41.85546875" bestFit="1" customWidth="1"/>
    <col min="3" max="3" width="2" customWidth="1"/>
    <col min="4" max="4" width="6.28515625" bestFit="1" customWidth="1"/>
    <col min="5" max="5" width="10.28515625" bestFit="1" customWidth="1"/>
    <col min="6" max="6" width="9.140625" bestFit="1" customWidth="1"/>
    <col min="7" max="7" width="1.140625" customWidth="1"/>
    <col min="8" max="9" width="8.85546875" style="2"/>
    <col min="10" max="10" width="1.140625" customWidth="1"/>
  </cols>
  <sheetData>
    <row r="1" spans="1:12" x14ac:dyDescent="0.25">
      <c r="A1" s="7" t="s">
        <v>46</v>
      </c>
      <c r="B1" s="6"/>
      <c r="C1" s="6"/>
      <c r="D1" s="6"/>
      <c r="E1" s="6"/>
      <c r="F1" s="6"/>
      <c r="G1" s="6"/>
      <c r="H1" s="10"/>
      <c r="I1" s="11"/>
    </row>
    <row r="3" spans="1:12" ht="36.75" x14ac:dyDescent="0.25">
      <c r="A3" s="9" t="s">
        <v>48</v>
      </c>
      <c r="B3" s="4" t="s">
        <v>8</v>
      </c>
      <c r="D3" s="5" t="s">
        <v>32</v>
      </c>
      <c r="E3" s="5" t="s">
        <v>25</v>
      </c>
      <c r="F3" s="8" t="s">
        <v>47</v>
      </c>
      <c r="H3" s="16" t="s">
        <v>20</v>
      </c>
      <c r="I3" s="17" t="s">
        <v>68</v>
      </c>
      <c r="K3" s="16" t="s">
        <v>20</v>
      </c>
      <c r="L3" s="17" t="s">
        <v>69</v>
      </c>
    </row>
    <row r="4" spans="1:12" x14ac:dyDescent="0.25">
      <c r="A4" t="str">
        <f>LEFT(B4,(SEARCH("-",B4))-1)</f>
        <v>ALT</v>
      </c>
      <c r="B4" t="s">
        <v>9</v>
      </c>
      <c r="D4" s="61">
        <v>1</v>
      </c>
      <c r="E4" s="62" t="s">
        <v>87</v>
      </c>
      <c r="F4" s="61">
        <v>1</v>
      </c>
      <c r="H4" s="1">
        <v>5</v>
      </c>
      <c r="I4" s="27" t="s">
        <v>87</v>
      </c>
      <c r="K4" s="1">
        <v>5</v>
      </c>
      <c r="L4" s="27" t="s">
        <v>87</v>
      </c>
    </row>
    <row r="5" spans="1:12" x14ac:dyDescent="0.25">
      <c r="A5" t="str">
        <f t="shared" ref="A5:A20" si="0">LEFT(B5,(SEARCH("-",B5))-1)</f>
        <v>MSRS</v>
      </c>
      <c r="B5" t="s">
        <v>10</v>
      </c>
      <c r="D5" s="61">
        <v>2</v>
      </c>
      <c r="E5" s="62" t="s">
        <v>53</v>
      </c>
      <c r="F5" s="61">
        <v>2</v>
      </c>
      <c r="H5" s="1">
        <v>6</v>
      </c>
      <c r="I5" s="27" t="s">
        <v>87</v>
      </c>
      <c r="K5" s="1">
        <v>6</v>
      </c>
      <c r="L5" s="27" t="s">
        <v>87</v>
      </c>
    </row>
    <row r="6" spans="1:12" x14ac:dyDescent="0.25">
      <c r="A6" t="str">
        <f t="shared" si="0"/>
        <v>FSRS</v>
      </c>
      <c r="B6" t="s">
        <v>11</v>
      </c>
      <c r="D6" s="61">
        <v>3</v>
      </c>
      <c r="E6" s="62" t="s">
        <v>54</v>
      </c>
      <c r="F6" s="61">
        <v>3</v>
      </c>
      <c r="H6" s="1">
        <v>7</v>
      </c>
      <c r="I6" s="27" t="s">
        <v>87</v>
      </c>
      <c r="K6" s="1">
        <v>7</v>
      </c>
      <c r="L6" s="27" t="s">
        <v>87</v>
      </c>
    </row>
    <row r="7" spans="1:12" x14ac:dyDescent="0.25">
      <c r="A7" t="str">
        <f t="shared" si="0"/>
        <v>MSRP</v>
      </c>
      <c r="B7" t="s">
        <v>60</v>
      </c>
      <c r="D7" s="61">
        <v>4</v>
      </c>
      <c r="E7" s="62" t="s">
        <v>55</v>
      </c>
      <c r="F7" s="61">
        <v>4</v>
      </c>
      <c r="H7" s="1">
        <v>8</v>
      </c>
      <c r="I7" s="27" t="s">
        <v>87</v>
      </c>
      <c r="K7" s="1">
        <v>8</v>
      </c>
      <c r="L7" s="27" t="s">
        <v>87</v>
      </c>
    </row>
    <row r="8" spans="1:12" x14ac:dyDescent="0.25">
      <c r="A8" t="str">
        <f t="shared" si="0"/>
        <v>FSRP</v>
      </c>
      <c r="B8" t="s">
        <v>61</v>
      </c>
      <c r="D8" s="61">
        <v>5</v>
      </c>
      <c r="E8" s="62" t="s">
        <v>98</v>
      </c>
      <c r="F8" s="61">
        <v>5</v>
      </c>
      <c r="H8" s="1">
        <v>9</v>
      </c>
      <c r="I8" s="18" t="s">
        <v>55</v>
      </c>
      <c r="K8" s="1">
        <v>9</v>
      </c>
      <c r="L8" s="84">
        <v>9</v>
      </c>
    </row>
    <row r="9" spans="1:12" x14ac:dyDescent="0.25">
      <c r="A9" t="str">
        <f t="shared" si="0"/>
        <v>SRPS</v>
      </c>
      <c r="B9" t="s">
        <v>62</v>
      </c>
      <c r="D9" s="61">
        <v>6</v>
      </c>
      <c r="E9" s="62" t="s">
        <v>56</v>
      </c>
      <c r="F9" s="61">
        <v>6</v>
      </c>
      <c r="H9" s="1">
        <v>10</v>
      </c>
      <c r="I9" s="18" t="s">
        <v>55</v>
      </c>
      <c r="K9" s="1">
        <v>10</v>
      </c>
      <c r="L9" s="84">
        <v>10</v>
      </c>
    </row>
    <row r="10" spans="1:12" x14ac:dyDescent="0.25">
      <c r="A10" t="str">
        <f t="shared" si="0"/>
        <v>SRPP</v>
      </c>
      <c r="B10" t="s">
        <v>63</v>
      </c>
      <c r="D10" s="61">
        <v>7</v>
      </c>
      <c r="E10" s="62" t="s">
        <v>57</v>
      </c>
      <c r="F10" s="61">
        <v>7</v>
      </c>
      <c r="H10" s="1">
        <v>11</v>
      </c>
      <c r="I10" s="19" t="s">
        <v>26</v>
      </c>
      <c r="K10" s="1">
        <v>11</v>
      </c>
      <c r="L10" s="84">
        <v>11</v>
      </c>
    </row>
    <row r="11" spans="1:12" x14ac:dyDescent="0.25">
      <c r="A11" t="str">
        <f t="shared" si="0"/>
        <v>DDSS</v>
      </c>
      <c r="B11" t="s">
        <v>64</v>
      </c>
      <c r="D11" s="61">
        <v>8</v>
      </c>
      <c r="E11" s="62" t="s">
        <v>26</v>
      </c>
      <c r="F11" s="61">
        <v>8</v>
      </c>
      <c r="H11" s="1">
        <v>12</v>
      </c>
      <c r="I11" s="19" t="s">
        <v>26</v>
      </c>
      <c r="K11" s="1">
        <v>12</v>
      </c>
      <c r="L11" s="84">
        <v>12</v>
      </c>
    </row>
    <row r="12" spans="1:12" x14ac:dyDescent="0.25">
      <c r="A12" t="str">
        <f t="shared" si="0"/>
        <v>DDSR</v>
      </c>
      <c r="B12" t="s">
        <v>12</v>
      </c>
      <c r="D12" s="61">
        <v>9</v>
      </c>
      <c r="E12" s="62" t="s">
        <v>99</v>
      </c>
      <c r="F12" s="61">
        <v>9</v>
      </c>
      <c r="H12" s="1">
        <v>13</v>
      </c>
      <c r="I12" s="19" t="s">
        <v>27</v>
      </c>
      <c r="K12" s="1">
        <v>13</v>
      </c>
      <c r="L12" s="84">
        <v>13</v>
      </c>
    </row>
    <row r="13" spans="1:12" x14ac:dyDescent="0.25">
      <c r="A13" t="str">
        <f t="shared" si="0"/>
        <v>DDSP</v>
      </c>
      <c r="B13" t="s">
        <v>65</v>
      </c>
      <c r="D13" s="61">
        <v>10</v>
      </c>
      <c r="E13" s="62" t="s">
        <v>58</v>
      </c>
      <c r="F13" s="61">
        <v>10</v>
      </c>
      <c r="H13" s="1">
        <v>14</v>
      </c>
      <c r="I13" s="19" t="s">
        <v>27</v>
      </c>
      <c r="K13" s="1">
        <v>14</v>
      </c>
      <c r="L13" s="84">
        <v>14</v>
      </c>
    </row>
    <row r="14" spans="1:12" x14ac:dyDescent="0.25">
      <c r="A14" t="str">
        <f t="shared" si="0"/>
        <v>MSRF</v>
      </c>
      <c r="B14" t="s">
        <v>13</v>
      </c>
      <c r="D14" s="61">
        <v>11</v>
      </c>
      <c r="E14" s="62" t="s">
        <v>59</v>
      </c>
      <c r="F14" s="61">
        <v>11</v>
      </c>
      <c r="H14" s="1">
        <v>15</v>
      </c>
      <c r="I14" s="81" t="s">
        <v>119</v>
      </c>
      <c r="K14" s="1">
        <v>15</v>
      </c>
      <c r="L14" s="81" t="s">
        <v>119</v>
      </c>
    </row>
    <row r="15" spans="1:12" x14ac:dyDescent="0.25">
      <c r="A15" t="str">
        <f t="shared" si="0"/>
        <v>FSRF</v>
      </c>
      <c r="B15" t="s">
        <v>14</v>
      </c>
      <c r="D15" s="61">
        <v>12</v>
      </c>
      <c r="E15" s="62" t="s">
        <v>27</v>
      </c>
      <c r="F15" s="61">
        <v>12</v>
      </c>
      <c r="H15" s="1">
        <v>16</v>
      </c>
      <c r="I15" s="81" t="s">
        <v>119</v>
      </c>
      <c r="K15" s="1">
        <v>16</v>
      </c>
      <c r="L15" s="81" t="s">
        <v>119</v>
      </c>
    </row>
    <row r="16" spans="1:12" x14ac:dyDescent="0.25">
      <c r="A16" t="str">
        <f t="shared" si="0"/>
        <v>SRPF</v>
      </c>
      <c r="B16" t="s">
        <v>15</v>
      </c>
      <c r="D16" s="61">
        <v>13</v>
      </c>
      <c r="E16" s="80" t="s">
        <v>117</v>
      </c>
      <c r="F16" s="61">
        <v>13</v>
      </c>
      <c r="H16" s="1">
        <v>17</v>
      </c>
      <c r="I16" s="81" t="s">
        <v>120</v>
      </c>
      <c r="K16" s="1">
        <v>17</v>
      </c>
      <c r="L16" s="81" t="s">
        <v>120</v>
      </c>
    </row>
    <row r="17" spans="1:12" x14ac:dyDescent="0.25">
      <c r="A17" t="str">
        <f t="shared" si="0"/>
        <v>DDSF</v>
      </c>
      <c r="B17" t="s">
        <v>16</v>
      </c>
      <c r="D17" s="61">
        <v>14</v>
      </c>
      <c r="E17" s="80" t="s">
        <v>119</v>
      </c>
      <c r="F17" s="61">
        <v>14</v>
      </c>
      <c r="H17" s="1">
        <v>18</v>
      </c>
      <c r="I17" s="81" t="s">
        <v>120</v>
      </c>
      <c r="K17" s="1">
        <v>18</v>
      </c>
      <c r="L17" s="81" t="s">
        <v>120</v>
      </c>
    </row>
    <row r="18" spans="1:12" x14ac:dyDescent="0.25">
      <c r="A18" t="str">
        <f t="shared" si="0"/>
        <v>DDPF</v>
      </c>
      <c r="B18" t="s">
        <v>17</v>
      </c>
      <c r="D18" s="61">
        <v>15</v>
      </c>
      <c r="E18" s="80" t="s">
        <v>120</v>
      </c>
      <c r="F18" s="61">
        <v>15</v>
      </c>
      <c r="H18" s="1">
        <v>19</v>
      </c>
      <c r="I18" s="81" t="s">
        <v>121</v>
      </c>
      <c r="K18" s="1">
        <v>19</v>
      </c>
      <c r="L18" s="81" t="s">
        <v>121</v>
      </c>
    </row>
    <row r="19" spans="1:12" x14ac:dyDescent="0.25">
      <c r="A19" t="str">
        <f t="shared" si="0"/>
        <v>JGR</v>
      </c>
      <c r="B19" t="s">
        <v>66</v>
      </c>
      <c r="D19" s="61">
        <v>16</v>
      </c>
      <c r="E19" s="80" t="s">
        <v>121</v>
      </c>
      <c r="F19" s="61">
        <v>16</v>
      </c>
      <c r="H19" s="1">
        <v>20</v>
      </c>
      <c r="I19" s="81" t="s">
        <v>121</v>
      </c>
      <c r="K19" s="1">
        <v>20</v>
      </c>
      <c r="L19" s="81" t="s">
        <v>121</v>
      </c>
    </row>
    <row r="20" spans="1:12" x14ac:dyDescent="0.25">
      <c r="A20" t="str">
        <f t="shared" si="0"/>
        <v>SGR</v>
      </c>
      <c r="B20" t="s">
        <v>67</v>
      </c>
      <c r="D20" s="61">
        <v>17</v>
      </c>
      <c r="E20" s="80" t="s">
        <v>123</v>
      </c>
      <c r="F20" s="61">
        <v>16</v>
      </c>
      <c r="H20" s="1">
        <v>21</v>
      </c>
      <c r="I20" s="81" t="s">
        <v>121</v>
      </c>
      <c r="K20" s="1">
        <v>21</v>
      </c>
      <c r="L20" s="81" t="s">
        <v>121</v>
      </c>
    </row>
    <row r="21" spans="1:12" x14ac:dyDescent="0.25">
      <c r="B21" s="3"/>
      <c r="D21" s="61"/>
      <c r="E21" s="80"/>
      <c r="F21" s="61"/>
      <c r="H21" s="1">
        <v>22</v>
      </c>
      <c r="I21" s="81" t="s">
        <v>121</v>
      </c>
      <c r="K21" s="1">
        <v>22</v>
      </c>
      <c r="L21" s="81" t="s">
        <v>121</v>
      </c>
    </row>
  </sheetData>
  <pageMargins left="0.7" right="0.7" top="0.75" bottom="0.75" header="0.3" footer="0.3"/>
  <pageSetup orientation="landscape"/>
  <customProperties>
    <customPr name="DVSECTION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B52"/>
  <sheetViews>
    <sheetView topLeftCell="A21" workbookViewId="0">
      <selection activeCell="C5" sqref="C5"/>
    </sheetView>
  </sheetViews>
  <sheetFormatPr defaultColWidth="11.42578125" defaultRowHeight="15" x14ac:dyDescent="0.25"/>
  <cols>
    <col min="1" max="1" width="13.140625" bestFit="1" customWidth="1"/>
    <col min="2" max="2" width="5.42578125" bestFit="1" customWidth="1"/>
    <col min="3" max="3" width="4.85546875" bestFit="1" customWidth="1"/>
    <col min="4" max="4" width="4.140625" bestFit="1" customWidth="1"/>
    <col min="5" max="5" width="5.7109375" bestFit="1" customWidth="1"/>
    <col min="6" max="6" width="4.28515625" bestFit="1" customWidth="1"/>
    <col min="7" max="7" width="5" bestFit="1" customWidth="1"/>
    <col min="8" max="8" width="10.140625" bestFit="1" customWidth="1"/>
  </cols>
  <sheetData>
    <row r="3" spans="1:2" x14ac:dyDescent="0.25">
      <c r="A3" s="58" t="s">
        <v>94</v>
      </c>
    </row>
    <row r="4" spans="1:2" x14ac:dyDescent="0.25">
      <c r="A4" s="58" t="s">
        <v>95</v>
      </c>
      <c r="B4" t="s">
        <v>97</v>
      </c>
    </row>
    <row r="5" spans="1:2" x14ac:dyDescent="0.25">
      <c r="A5" s="41" t="s">
        <v>89</v>
      </c>
      <c r="B5">
        <v>180</v>
      </c>
    </row>
    <row r="6" spans="1:2" x14ac:dyDescent="0.25">
      <c r="A6" s="59">
        <v>9</v>
      </c>
      <c r="B6">
        <v>10</v>
      </c>
    </row>
    <row r="7" spans="1:2" x14ac:dyDescent="0.25">
      <c r="A7" s="59">
        <v>10</v>
      </c>
      <c r="B7">
        <v>20</v>
      </c>
    </row>
    <row r="8" spans="1:2" x14ac:dyDescent="0.25">
      <c r="A8" s="59">
        <v>11</v>
      </c>
      <c r="B8">
        <v>20</v>
      </c>
    </row>
    <row r="9" spans="1:2" x14ac:dyDescent="0.25">
      <c r="A9" s="59">
        <v>12</v>
      </c>
      <c r="B9">
        <v>20</v>
      </c>
    </row>
    <row r="10" spans="1:2" x14ac:dyDescent="0.25">
      <c r="A10" s="59">
        <v>13</v>
      </c>
      <c r="B10">
        <v>20</v>
      </c>
    </row>
    <row r="11" spans="1:2" x14ac:dyDescent="0.25">
      <c r="A11" s="59">
        <v>14</v>
      </c>
      <c r="B11">
        <v>20</v>
      </c>
    </row>
    <row r="12" spans="1:2" x14ac:dyDescent="0.25">
      <c r="A12" s="59" t="s">
        <v>71</v>
      </c>
      <c r="B12">
        <v>10</v>
      </c>
    </row>
    <row r="13" spans="1:2" x14ac:dyDescent="0.25">
      <c r="A13" s="59" t="s">
        <v>119</v>
      </c>
      <c r="B13">
        <v>20</v>
      </c>
    </row>
    <row r="14" spans="1:2" x14ac:dyDescent="0.25">
      <c r="A14" s="59" t="s">
        <v>121</v>
      </c>
      <c r="B14">
        <v>20</v>
      </c>
    </row>
    <row r="15" spans="1:2" x14ac:dyDescent="0.25">
      <c r="A15" s="59" t="s">
        <v>122</v>
      </c>
      <c r="B15">
        <v>20</v>
      </c>
    </row>
    <row r="16" spans="1:2" x14ac:dyDescent="0.25">
      <c r="A16" s="41" t="s">
        <v>72</v>
      </c>
      <c r="B16">
        <v>1</v>
      </c>
    </row>
    <row r="17" spans="1:2" x14ac:dyDescent="0.25">
      <c r="A17" s="59" t="s">
        <v>117</v>
      </c>
      <c r="B17">
        <v>1</v>
      </c>
    </row>
    <row r="18" spans="1:2" x14ac:dyDescent="0.25">
      <c r="A18" s="41" t="s">
        <v>88</v>
      </c>
      <c r="B18">
        <v>56</v>
      </c>
    </row>
    <row r="19" spans="1:2" x14ac:dyDescent="0.25">
      <c r="A19" s="59" t="s">
        <v>26</v>
      </c>
      <c r="B19">
        <v>8</v>
      </c>
    </row>
    <row r="20" spans="1:2" x14ac:dyDescent="0.25">
      <c r="A20" s="59" t="s">
        <v>27</v>
      </c>
      <c r="B20">
        <v>8</v>
      </c>
    </row>
    <row r="21" spans="1:2" x14ac:dyDescent="0.25">
      <c r="A21" s="59" t="s">
        <v>71</v>
      </c>
      <c r="B21">
        <v>8</v>
      </c>
    </row>
    <row r="22" spans="1:2" x14ac:dyDescent="0.25">
      <c r="A22" s="59" t="s">
        <v>55</v>
      </c>
      <c r="B22">
        <v>8</v>
      </c>
    </row>
    <row r="23" spans="1:2" x14ac:dyDescent="0.25">
      <c r="A23" s="59" t="s">
        <v>119</v>
      </c>
      <c r="B23">
        <v>8</v>
      </c>
    </row>
    <row r="24" spans="1:2" x14ac:dyDescent="0.25">
      <c r="A24" s="59" t="s">
        <v>120</v>
      </c>
      <c r="B24">
        <v>8</v>
      </c>
    </row>
    <row r="25" spans="1:2" x14ac:dyDescent="0.25">
      <c r="A25" s="59" t="s">
        <v>121</v>
      </c>
      <c r="B25">
        <v>8</v>
      </c>
    </row>
    <row r="26" spans="1:2" x14ac:dyDescent="0.25">
      <c r="A26" s="41" t="s">
        <v>73</v>
      </c>
      <c r="B26">
        <v>1</v>
      </c>
    </row>
    <row r="27" spans="1:2" x14ac:dyDescent="0.25">
      <c r="A27" s="59" t="s">
        <v>123</v>
      </c>
      <c r="B27">
        <v>1</v>
      </c>
    </row>
    <row r="28" spans="1:2" x14ac:dyDescent="0.25">
      <c r="A28" s="41" t="s">
        <v>76</v>
      </c>
      <c r="B28">
        <v>50</v>
      </c>
    </row>
    <row r="29" spans="1:2" x14ac:dyDescent="0.25">
      <c r="A29" s="59" t="s">
        <v>26</v>
      </c>
      <c r="B29">
        <v>8</v>
      </c>
    </row>
    <row r="30" spans="1:2" x14ac:dyDescent="0.25">
      <c r="A30" s="59" t="s">
        <v>27</v>
      </c>
      <c r="B30">
        <v>8</v>
      </c>
    </row>
    <row r="31" spans="1:2" x14ac:dyDescent="0.25">
      <c r="A31" s="59" t="s">
        <v>28</v>
      </c>
      <c r="B31">
        <v>10</v>
      </c>
    </row>
    <row r="32" spans="1:2" x14ac:dyDescent="0.25">
      <c r="A32" s="59" t="s">
        <v>29</v>
      </c>
      <c r="B32">
        <v>8</v>
      </c>
    </row>
    <row r="33" spans="1:2" x14ac:dyDescent="0.25">
      <c r="A33" s="59" t="s">
        <v>71</v>
      </c>
      <c r="B33">
        <v>8</v>
      </c>
    </row>
    <row r="34" spans="1:2" x14ac:dyDescent="0.25">
      <c r="A34" s="59" t="s">
        <v>55</v>
      </c>
      <c r="B34">
        <v>8</v>
      </c>
    </row>
    <row r="35" spans="1:2" x14ac:dyDescent="0.25">
      <c r="A35" s="41" t="s">
        <v>115</v>
      </c>
      <c r="B35">
        <v>32</v>
      </c>
    </row>
    <row r="36" spans="1:2" x14ac:dyDescent="0.25">
      <c r="A36" s="59" t="s">
        <v>27</v>
      </c>
      <c r="B36">
        <v>8</v>
      </c>
    </row>
    <row r="37" spans="1:2" x14ac:dyDescent="0.25">
      <c r="A37" s="59" t="s">
        <v>28</v>
      </c>
      <c r="B37">
        <v>8</v>
      </c>
    </row>
    <row r="38" spans="1:2" x14ac:dyDescent="0.25">
      <c r="A38" s="59" t="s">
        <v>29</v>
      </c>
      <c r="B38">
        <v>8</v>
      </c>
    </row>
    <row r="39" spans="1:2" x14ac:dyDescent="0.25">
      <c r="A39" s="59" t="s">
        <v>99</v>
      </c>
      <c r="B39">
        <v>8</v>
      </c>
    </row>
    <row r="40" spans="1:2" x14ac:dyDescent="0.25">
      <c r="A40" s="41" t="s">
        <v>128</v>
      </c>
      <c r="B40">
        <v>20</v>
      </c>
    </row>
    <row r="41" spans="1:2" x14ac:dyDescent="0.25">
      <c r="A41" s="59" t="s">
        <v>123</v>
      </c>
      <c r="B41">
        <v>20</v>
      </c>
    </row>
    <row r="42" spans="1:2" x14ac:dyDescent="0.25">
      <c r="A42" s="41" t="s">
        <v>127</v>
      </c>
      <c r="B42">
        <v>20</v>
      </c>
    </row>
    <row r="43" spans="1:2" x14ac:dyDescent="0.25">
      <c r="A43" s="59" t="s">
        <v>123</v>
      </c>
      <c r="B43">
        <v>20</v>
      </c>
    </row>
    <row r="44" spans="1:2" x14ac:dyDescent="0.25">
      <c r="A44" s="41" t="s">
        <v>114</v>
      </c>
      <c r="B44">
        <v>32</v>
      </c>
    </row>
    <row r="45" spans="1:2" x14ac:dyDescent="0.25">
      <c r="A45" s="59" t="s">
        <v>27</v>
      </c>
      <c r="B45">
        <v>8</v>
      </c>
    </row>
    <row r="46" spans="1:2" x14ac:dyDescent="0.25">
      <c r="A46" s="59" t="s">
        <v>28</v>
      </c>
      <c r="B46">
        <v>8</v>
      </c>
    </row>
    <row r="47" spans="1:2" x14ac:dyDescent="0.25">
      <c r="A47" s="59" t="s">
        <v>29</v>
      </c>
      <c r="B47">
        <v>8</v>
      </c>
    </row>
    <row r="48" spans="1:2" x14ac:dyDescent="0.25">
      <c r="A48" s="59" t="s">
        <v>99</v>
      </c>
      <c r="B48">
        <v>8</v>
      </c>
    </row>
    <row r="49" spans="1:2" x14ac:dyDescent="0.25">
      <c r="A49" s="41" t="s">
        <v>116</v>
      </c>
      <c r="B49">
        <v>16</v>
      </c>
    </row>
    <row r="50" spans="1:2" x14ac:dyDescent="0.25">
      <c r="A50" s="59" t="s">
        <v>117</v>
      </c>
      <c r="B50">
        <v>8</v>
      </c>
    </row>
    <row r="51" spans="1:2" x14ac:dyDescent="0.25">
      <c r="A51" s="59" t="s">
        <v>118</v>
      </c>
      <c r="B51">
        <v>8</v>
      </c>
    </row>
    <row r="52" spans="1:2" x14ac:dyDescent="0.25">
      <c r="A52" s="41" t="s">
        <v>96</v>
      </c>
      <c r="B52">
        <v>408</v>
      </c>
    </row>
  </sheetData>
  <phoneticPr fontId="25" type="noConversion"/>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theme="1"/>
  </sheetPr>
  <dimension ref="A1:H411"/>
  <sheetViews>
    <sheetView workbookViewId="0">
      <pane ySplit="3" topLeftCell="A347" activePane="bottomLeft" state="frozen"/>
      <selection activeCell="A368" sqref="A368"/>
      <selection pane="bottomLeft" activeCell="A368" sqref="A368"/>
    </sheetView>
  </sheetViews>
  <sheetFormatPr defaultColWidth="8.85546875" defaultRowHeight="15" x14ac:dyDescent="0.25"/>
  <cols>
    <col min="1" max="1" width="18.28515625" bestFit="1" customWidth="1"/>
    <col min="2" max="2" width="7.140625" bestFit="1" customWidth="1"/>
    <col min="3" max="3" width="6.7109375" bestFit="1" customWidth="1"/>
    <col min="4" max="4" width="9" bestFit="1" customWidth="1"/>
    <col min="5" max="8" width="8.42578125" bestFit="1" customWidth="1"/>
  </cols>
  <sheetData>
    <row r="1" spans="1:8" x14ac:dyDescent="0.25">
      <c r="A1" s="7" t="s">
        <v>50</v>
      </c>
      <c r="B1" s="12"/>
      <c r="C1" s="12"/>
      <c r="D1" s="12"/>
      <c r="E1" s="12"/>
      <c r="F1" s="12"/>
      <c r="G1" s="12"/>
      <c r="H1" s="13"/>
    </row>
    <row r="3" spans="1:8" x14ac:dyDescent="0.25">
      <c r="A3" t="s">
        <v>18</v>
      </c>
      <c r="B3" t="s">
        <v>49</v>
      </c>
      <c r="C3" t="s">
        <v>19</v>
      </c>
      <c r="D3" t="s">
        <v>20</v>
      </c>
      <c r="E3" t="s">
        <v>21</v>
      </c>
      <c r="F3" t="s">
        <v>22</v>
      </c>
      <c r="G3" t="s">
        <v>23</v>
      </c>
      <c r="H3" t="s">
        <v>24</v>
      </c>
    </row>
    <row r="4" spans="1:8" x14ac:dyDescent="0.25">
      <c r="A4">
        <f>'Team Info'!$B$3</f>
        <v>0</v>
      </c>
      <c r="B4">
        <f>'Group Team Show'!$A$5</f>
        <v>1</v>
      </c>
      <c r="C4" t="str">
        <f>'Group Team Show'!$B$5</f>
        <v>JGR</v>
      </c>
      <c r="D4" t="str">
        <f>'Group Team Show'!$C$5</f>
        <v>14-Under</v>
      </c>
      <c r="E4">
        <f>'Group Team Show'!$D$5</f>
        <v>0</v>
      </c>
    </row>
    <row r="5" spans="1:8" x14ac:dyDescent="0.25">
      <c r="A5">
        <f>'Team Info'!$B$3</f>
        <v>0</v>
      </c>
      <c r="B5">
        <f>'Group Team Show'!$I$5</f>
        <v>1</v>
      </c>
      <c r="C5" t="str">
        <f>'Group Team Show'!$J$5</f>
        <v>SGR</v>
      </c>
      <c r="D5" t="str">
        <f>'Group Team Show'!$K$5</f>
        <v>15-Over</v>
      </c>
      <c r="E5">
        <f>'Group Team Show'!$L$5</f>
        <v>0</v>
      </c>
    </row>
    <row r="6" spans="1:8" x14ac:dyDescent="0.25">
      <c r="A6">
        <f>'Team Info'!$B$3</f>
        <v>0</v>
      </c>
      <c r="B6">
        <f>'Male Individual Rope Singles'!A5</f>
        <v>1</v>
      </c>
      <c r="C6" t="str">
        <f>'Male Individual Rope Singles'!B5</f>
        <v>MSRx</v>
      </c>
      <c r="D6" t="str">
        <f>'Male Individual Rope Singles'!C5</f>
        <v>8-under</v>
      </c>
      <c r="E6">
        <f>'Male Individual Rope Singles'!D5</f>
        <v>0</v>
      </c>
    </row>
    <row r="7" spans="1:8" x14ac:dyDescent="0.25">
      <c r="A7">
        <f>'Team Info'!$B$3</f>
        <v>0</v>
      </c>
      <c r="B7">
        <f>'Male Individual Rope Singles'!A6</f>
        <v>2</v>
      </c>
      <c r="C7" t="str">
        <f>'Male Individual Rope Singles'!B6</f>
        <v>MSRx</v>
      </c>
      <c r="D7" t="str">
        <f>'Male Individual Rope Singles'!C6</f>
        <v>8-under</v>
      </c>
      <c r="E7">
        <f>'Male Individual Rope Singles'!D6</f>
        <v>0</v>
      </c>
    </row>
    <row r="8" spans="1:8" x14ac:dyDescent="0.25">
      <c r="A8">
        <f>'Team Info'!$B$3</f>
        <v>0</v>
      </c>
      <c r="B8">
        <f>'Male Individual Rope Singles'!A7</f>
        <v>3</v>
      </c>
      <c r="C8" t="str">
        <f>'Male Individual Rope Singles'!B7</f>
        <v>MSRx</v>
      </c>
      <c r="D8" t="str">
        <f>'Male Individual Rope Singles'!C7</f>
        <v>8-under</v>
      </c>
      <c r="E8">
        <f>'Male Individual Rope Singles'!D7</f>
        <v>0</v>
      </c>
    </row>
    <row r="9" spans="1:8" x14ac:dyDescent="0.25">
      <c r="A9">
        <f>'Team Info'!$B$3</f>
        <v>0</v>
      </c>
      <c r="B9">
        <f>'Male Individual Rope Singles'!A8</f>
        <v>4</v>
      </c>
      <c r="C9" t="str">
        <f>'Male Individual Rope Singles'!B8</f>
        <v>MSRx</v>
      </c>
      <c r="D9" t="str">
        <f>'Male Individual Rope Singles'!C8</f>
        <v>8-under</v>
      </c>
      <c r="E9">
        <f>'Male Individual Rope Singles'!D8</f>
        <v>0</v>
      </c>
    </row>
    <row r="10" spans="1:8" x14ac:dyDescent="0.25">
      <c r="A10">
        <f>'Team Info'!$B$3</f>
        <v>0</v>
      </c>
      <c r="B10">
        <f>'Male Individual Rope Singles'!A9</f>
        <v>5</v>
      </c>
      <c r="C10" t="str">
        <f>'Male Individual Rope Singles'!B9</f>
        <v>MSRx</v>
      </c>
      <c r="D10" t="str">
        <f>'Male Individual Rope Singles'!C9</f>
        <v>8-under</v>
      </c>
      <c r="E10">
        <f>'Male Individual Rope Singles'!D9</f>
        <v>0</v>
      </c>
    </row>
    <row r="11" spans="1:8" x14ac:dyDescent="0.25">
      <c r="A11">
        <f>'Team Info'!$B$3</f>
        <v>0</v>
      </c>
      <c r="B11">
        <f>'Male Individual Rope Singles'!A10</f>
        <v>6</v>
      </c>
      <c r="C11" t="str">
        <f>'Male Individual Rope Singles'!B10</f>
        <v>MSRx</v>
      </c>
      <c r="D11" t="str">
        <f>'Male Individual Rope Singles'!C10</f>
        <v>8-under</v>
      </c>
      <c r="E11">
        <f>'Male Individual Rope Singles'!D10</f>
        <v>0</v>
      </c>
    </row>
    <row r="12" spans="1:8" x14ac:dyDescent="0.25">
      <c r="A12">
        <f>'Team Info'!$B$3</f>
        <v>0</v>
      </c>
      <c r="B12">
        <f>'Male Individual Rope Singles'!A11</f>
        <v>7</v>
      </c>
      <c r="C12" t="str">
        <f>'Male Individual Rope Singles'!B11</f>
        <v>MSRx</v>
      </c>
      <c r="D12" t="str">
        <f>'Male Individual Rope Singles'!C11</f>
        <v>8-under</v>
      </c>
      <c r="E12">
        <f>'Male Individual Rope Singles'!D11</f>
        <v>0</v>
      </c>
    </row>
    <row r="13" spans="1:8" x14ac:dyDescent="0.25">
      <c r="A13">
        <f>'Team Info'!$B$3</f>
        <v>0</v>
      </c>
      <c r="B13">
        <f>'Male Individual Rope Singles'!A12</f>
        <v>8</v>
      </c>
      <c r="C13" t="str">
        <f>'Male Individual Rope Singles'!B12</f>
        <v>MSRx</v>
      </c>
      <c r="D13" t="str">
        <f>'Male Individual Rope Singles'!C12</f>
        <v>8-under</v>
      </c>
      <c r="E13">
        <f>'Male Individual Rope Singles'!D12</f>
        <v>0</v>
      </c>
    </row>
    <row r="14" spans="1:8" x14ac:dyDescent="0.25">
      <c r="A14">
        <f>'Team Info'!$B$3</f>
        <v>0</v>
      </c>
      <c r="B14">
        <f>'Male Individual Rope Singles'!H5</f>
        <v>1</v>
      </c>
      <c r="C14" t="str">
        <f>'Male Individual Rope Singles'!I5</f>
        <v>MSRx</v>
      </c>
      <c r="D14" t="str">
        <f>'Male Individual Rope Singles'!J5</f>
        <v>9-10</v>
      </c>
      <c r="E14">
        <f>'Male Individual Rope Singles'!K5</f>
        <v>0</v>
      </c>
    </row>
    <row r="15" spans="1:8" x14ac:dyDescent="0.25">
      <c r="A15">
        <f>'Team Info'!$B$3</f>
        <v>0</v>
      </c>
      <c r="B15">
        <f>'Male Individual Rope Singles'!H6</f>
        <v>2</v>
      </c>
      <c r="C15" t="str">
        <f>'Male Individual Rope Singles'!I6</f>
        <v>MSRx</v>
      </c>
      <c r="D15" t="str">
        <f>'Male Individual Rope Singles'!J6</f>
        <v>9-10</v>
      </c>
      <c r="E15">
        <f>'Male Individual Rope Singles'!K6</f>
        <v>0</v>
      </c>
    </row>
    <row r="16" spans="1:8" x14ac:dyDescent="0.25">
      <c r="A16">
        <f>'Team Info'!$B$3</f>
        <v>0</v>
      </c>
      <c r="B16">
        <f>'Male Individual Rope Singles'!H7</f>
        <v>3</v>
      </c>
      <c r="C16" t="str">
        <f>'Male Individual Rope Singles'!I7</f>
        <v>MSRx</v>
      </c>
      <c r="D16" t="str">
        <f>'Male Individual Rope Singles'!J7</f>
        <v>9-10</v>
      </c>
      <c r="E16">
        <f>'Male Individual Rope Singles'!K7</f>
        <v>0</v>
      </c>
    </row>
    <row r="17" spans="1:5" x14ac:dyDescent="0.25">
      <c r="A17">
        <f>'Team Info'!$B$3</f>
        <v>0</v>
      </c>
      <c r="B17">
        <f>'Male Individual Rope Singles'!H8</f>
        <v>4</v>
      </c>
      <c r="C17" t="str">
        <f>'Male Individual Rope Singles'!I8</f>
        <v>MSRx</v>
      </c>
      <c r="D17" t="str">
        <f>'Male Individual Rope Singles'!J8</f>
        <v>9-10</v>
      </c>
      <c r="E17">
        <f>'Male Individual Rope Singles'!K8</f>
        <v>0</v>
      </c>
    </row>
    <row r="18" spans="1:5" x14ac:dyDescent="0.25">
      <c r="A18">
        <f>'Team Info'!$B$3</f>
        <v>0</v>
      </c>
      <c r="B18">
        <f>'Male Individual Rope Singles'!H9</f>
        <v>5</v>
      </c>
      <c r="C18" t="str">
        <f>'Male Individual Rope Singles'!I9</f>
        <v>MSRx</v>
      </c>
      <c r="D18" t="str">
        <f>'Male Individual Rope Singles'!J9</f>
        <v>9-10</v>
      </c>
      <c r="E18">
        <f>'Male Individual Rope Singles'!K9</f>
        <v>0</v>
      </c>
    </row>
    <row r="19" spans="1:5" x14ac:dyDescent="0.25">
      <c r="A19">
        <f>'Team Info'!$B$3</f>
        <v>0</v>
      </c>
      <c r="B19">
        <f>'Male Individual Rope Singles'!H10</f>
        <v>6</v>
      </c>
      <c r="C19" t="str">
        <f>'Male Individual Rope Singles'!I10</f>
        <v>MSRx</v>
      </c>
      <c r="D19" t="str">
        <f>'Male Individual Rope Singles'!J10</f>
        <v>9-10</v>
      </c>
      <c r="E19">
        <f>'Male Individual Rope Singles'!K10</f>
        <v>0</v>
      </c>
    </row>
    <row r="20" spans="1:5" x14ac:dyDescent="0.25">
      <c r="A20">
        <f>'Team Info'!$B$3</f>
        <v>0</v>
      </c>
      <c r="B20">
        <f>'Male Individual Rope Singles'!H11</f>
        <v>7</v>
      </c>
      <c r="C20" t="str">
        <f>'Male Individual Rope Singles'!I11</f>
        <v>MSRx</v>
      </c>
      <c r="D20" t="str">
        <f>'Male Individual Rope Singles'!J11</f>
        <v>9-10</v>
      </c>
      <c r="E20">
        <f>'Male Individual Rope Singles'!K11</f>
        <v>0</v>
      </c>
    </row>
    <row r="21" spans="1:5" x14ac:dyDescent="0.25">
      <c r="A21">
        <f>'Team Info'!$B$3</f>
        <v>0</v>
      </c>
      <c r="B21">
        <f>'Male Individual Rope Singles'!H12</f>
        <v>8</v>
      </c>
      <c r="C21" t="str">
        <f>'Male Individual Rope Singles'!I12</f>
        <v>MSRx</v>
      </c>
      <c r="D21" t="str">
        <f>'Male Individual Rope Singles'!J12</f>
        <v>9-10</v>
      </c>
      <c r="E21">
        <f>'Male Individual Rope Singles'!K12</f>
        <v>0</v>
      </c>
    </row>
    <row r="22" spans="1:5" x14ac:dyDescent="0.25">
      <c r="A22">
        <f>'Team Info'!$B$3</f>
        <v>0</v>
      </c>
      <c r="B22">
        <f>'Male Individual Rope Singles'!A15</f>
        <v>1</v>
      </c>
      <c r="C22" t="str">
        <f>'Male Individual Rope Singles'!B15</f>
        <v>MSRx</v>
      </c>
      <c r="D22" t="str">
        <f>'Male Individual Rope Singles'!C15</f>
        <v>11-12</v>
      </c>
      <c r="E22">
        <f>'Male Individual Rope Singles'!D15</f>
        <v>0</v>
      </c>
    </row>
    <row r="23" spans="1:5" x14ac:dyDescent="0.25">
      <c r="A23">
        <f>'Team Info'!$B$3</f>
        <v>0</v>
      </c>
      <c r="B23">
        <f>'Male Individual Rope Singles'!A16</f>
        <v>2</v>
      </c>
      <c r="C23" t="str">
        <f>'Male Individual Rope Singles'!B16</f>
        <v>MSRx</v>
      </c>
      <c r="D23" t="str">
        <f>'Male Individual Rope Singles'!C16</f>
        <v>11-12</v>
      </c>
      <c r="E23">
        <f>'Male Individual Rope Singles'!D16</f>
        <v>0</v>
      </c>
    </row>
    <row r="24" spans="1:5" x14ac:dyDescent="0.25">
      <c r="A24">
        <f>'Team Info'!$B$3</f>
        <v>0</v>
      </c>
      <c r="B24">
        <f>'Male Individual Rope Singles'!A17</f>
        <v>3</v>
      </c>
      <c r="C24" t="str">
        <f>'Male Individual Rope Singles'!B17</f>
        <v>MSRx</v>
      </c>
      <c r="D24" t="str">
        <f>'Male Individual Rope Singles'!C17</f>
        <v>11-12</v>
      </c>
      <c r="E24">
        <f>'Male Individual Rope Singles'!D17</f>
        <v>0</v>
      </c>
    </row>
    <row r="25" spans="1:5" x14ac:dyDescent="0.25">
      <c r="A25">
        <f>'Team Info'!$B$3</f>
        <v>0</v>
      </c>
      <c r="B25">
        <f>'Male Individual Rope Singles'!A18</f>
        <v>4</v>
      </c>
      <c r="C25" t="str">
        <f>'Male Individual Rope Singles'!B18</f>
        <v>MSRx</v>
      </c>
      <c r="D25" t="str">
        <f>'Male Individual Rope Singles'!C18</f>
        <v>11-12</v>
      </c>
      <c r="E25">
        <f>'Male Individual Rope Singles'!D18</f>
        <v>0</v>
      </c>
    </row>
    <row r="26" spans="1:5" x14ac:dyDescent="0.25">
      <c r="A26">
        <f>'Team Info'!$B$3</f>
        <v>0</v>
      </c>
      <c r="B26">
        <f>'Male Individual Rope Singles'!A19</f>
        <v>5</v>
      </c>
      <c r="C26" t="str">
        <f>'Male Individual Rope Singles'!B19</f>
        <v>MSRx</v>
      </c>
      <c r="D26" t="str">
        <f>'Male Individual Rope Singles'!C19</f>
        <v>11-12</v>
      </c>
      <c r="E26">
        <f>'Male Individual Rope Singles'!D19</f>
        <v>0</v>
      </c>
    </row>
    <row r="27" spans="1:5" x14ac:dyDescent="0.25">
      <c r="A27">
        <f>'Team Info'!$B$3</f>
        <v>0</v>
      </c>
      <c r="B27">
        <f>'Male Individual Rope Singles'!A20</f>
        <v>6</v>
      </c>
      <c r="C27" t="str">
        <f>'Male Individual Rope Singles'!B20</f>
        <v>MSRx</v>
      </c>
      <c r="D27" t="str">
        <f>'Male Individual Rope Singles'!C20</f>
        <v>11-12</v>
      </c>
      <c r="E27">
        <f>'Male Individual Rope Singles'!D20</f>
        <v>0</v>
      </c>
    </row>
    <row r="28" spans="1:5" x14ac:dyDescent="0.25">
      <c r="A28">
        <f>'Team Info'!$B$3</f>
        <v>0</v>
      </c>
      <c r="B28">
        <f>'Male Individual Rope Singles'!A21</f>
        <v>7</v>
      </c>
      <c r="C28" t="str">
        <f>'Male Individual Rope Singles'!B21</f>
        <v>MSRx</v>
      </c>
      <c r="D28" t="str">
        <f>'Male Individual Rope Singles'!C21</f>
        <v>11-12</v>
      </c>
      <c r="E28">
        <f>'Male Individual Rope Singles'!D21</f>
        <v>0</v>
      </c>
    </row>
    <row r="29" spans="1:5" x14ac:dyDescent="0.25">
      <c r="A29">
        <f>'Team Info'!$B$3</f>
        <v>0</v>
      </c>
      <c r="B29">
        <f>'Male Individual Rope Singles'!A22</f>
        <v>8</v>
      </c>
      <c r="C29" t="str">
        <f>'Male Individual Rope Singles'!B22</f>
        <v>MSRx</v>
      </c>
      <c r="D29" t="str">
        <f>'Male Individual Rope Singles'!C22</f>
        <v>11-12</v>
      </c>
      <c r="E29">
        <f>'Male Individual Rope Singles'!D22</f>
        <v>0</v>
      </c>
    </row>
    <row r="30" spans="1:5" x14ac:dyDescent="0.25">
      <c r="A30">
        <f>'Team Info'!$B$3</f>
        <v>0</v>
      </c>
      <c r="B30">
        <f>'Male Individual Rope Singles'!H15</f>
        <v>1</v>
      </c>
      <c r="C30" t="str">
        <f>'Male Individual Rope Singles'!I15</f>
        <v>MSRx</v>
      </c>
      <c r="D30" t="str">
        <f>'Male Individual Rope Singles'!J15</f>
        <v>13-14</v>
      </c>
      <c r="E30">
        <f>'Male Individual Rope Singles'!K15</f>
        <v>0</v>
      </c>
    </row>
    <row r="31" spans="1:5" x14ac:dyDescent="0.25">
      <c r="A31">
        <f>'Team Info'!$B$3</f>
        <v>0</v>
      </c>
      <c r="B31">
        <f>'Male Individual Rope Singles'!H16</f>
        <v>2</v>
      </c>
      <c r="C31" t="str">
        <f>'Male Individual Rope Singles'!I16</f>
        <v>MSRx</v>
      </c>
      <c r="D31" t="str">
        <f>'Male Individual Rope Singles'!J16</f>
        <v>13-14</v>
      </c>
      <c r="E31">
        <f>'Male Individual Rope Singles'!K16</f>
        <v>0</v>
      </c>
    </row>
    <row r="32" spans="1:5" x14ac:dyDescent="0.25">
      <c r="A32">
        <f>'Team Info'!$B$3</f>
        <v>0</v>
      </c>
      <c r="B32">
        <f>'Male Individual Rope Singles'!H17</f>
        <v>3</v>
      </c>
      <c r="C32" t="str">
        <f>'Male Individual Rope Singles'!I17</f>
        <v>MSRx</v>
      </c>
      <c r="D32" t="str">
        <f>'Male Individual Rope Singles'!J17</f>
        <v>13-14</v>
      </c>
      <c r="E32">
        <f>'Male Individual Rope Singles'!K17</f>
        <v>0</v>
      </c>
    </row>
    <row r="33" spans="1:5" x14ac:dyDescent="0.25">
      <c r="A33">
        <f>'Team Info'!$B$3</f>
        <v>0</v>
      </c>
      <c r="B33">
        <f>'Male Individual Rope Singles'!H18</f>
        <v>4</v>
      </c>
      <c r="C33" t="str">
        <f>'Male Individual Rope Singles'!I18</f>
        <v>MSRx</v>
      </c>
      <c r="D33" t="str">
        <f>'Male Individual Rope Singles'!J18</f>
        <v>13-14</v>
      </c>
      <c r="E33">
        <f>'Male Individual Rope Singles'!K18</f>
        <v>0</v>
      </c>
    </row>
    <row r="34" spans="1:5" x14ac:dyDescent="0.25">
      <c r="A34">
        <f>'Team Info'!$B$3</f>
        <v>0</v>
      </c>
      <c r="B34">
        <f>'Male Individual Rope Singles'!H19</f>
        <v>5</v>
      </c>
      <c r="C34" t="str">
        <f>'Male Individual Rope Singles'!I19</f>
        <v>MSRx</v>
      </c>
      <c r="D34" t="str">
        <f>'Male Individual Rope Singles'!J19</f>
        <v>13-14</v>
      </c>
      <c r="E34">
        <f>'Male Individual Rope Singles'!K19</f>
        <v>0</v>
      </c>
    </row>
    <row r="35" spans="1:5" x14ac:dyDescent="0.25">
      <c r="A35">
        <f>'Team Info'!$B$3</f>
        <v>0</v>
      </c>
      <c r="B35">
        <f>'Male Individual Rope Singles'!H20</f>
        <v>6</v>
      </c>
      <c r="C35" t="str">
        <f>'Male Individual Rope Singles'!I20</f>
        <v>MSRx</v>
      </c>
      <c r="D35" t="str">
        <f>'Male Individual Rope Singles'!J20</f>
        <v>13-14</v>
      </c>
      <c r="E35">
        <f>'Male Individual Rope Singles'!K20</f>
        <v>0</v>
      </c>
    </row>
    <row r="36" spans="1:5" x14ac:dyDescent="0.25">
      <c r="A36">
        <f>'Team Info'!$B$3</f>
        <v>0</v>
      </c>
      <c r="B36">
        <f>'Male Individual Rope Singles'!H21</f>
        <v>7</v>
      </c>
      <c r="C36" t="str">
        <f>'Male Individual Rope Singles'!I21</f>
        <v>MSRx</v>
      </c>
      <c r="D36" t="str">
        <f>'Male Individual Rope Singles'!J21</f>
        <v>13-14</v>
      </c>
      <c r="E36">
        <f>'Male Individual Rope Singles'!K21</f>
        <v>0</v>
      </c>
    </row>
    <row r="37" spans="1:5" x14ac:dyDescent="0.25">
      <c r="A37">
        <f>'Team Info'!$B$3</f>
        <v>0</v>
      </c>
      <c r="B37">
        <f>'Male Individual Rope Singles'!H22</f>
        <v>8</v>
      </c>
      <c r="C37" t="str">
        <f>'Male Individual Rope Singles'!I22</f>
        <v>MSRx</v>
      </c>
      <c r="D37" t="str">
        <f>'Male Individual Rope Singles'!J22</f>
        <v>13-14</v>
      </c>
      <c r="E37">
        <f>'Male Individual Rope Singles'!K22</f>
        <v>0</v>
      </c>
    </row>
    <row r="38" spans="1:5" x14ac:dyDescent="0.25">
      <c r="A38">
        <f>'Team Info'!$B$3</f>
        <v>0</v>
      </c>
      <c r="B38">
        <f>'Male Individual Rope Singles'!A25</f>
        <v>1</v>
      </c>
      <c r="C38" t="str">
        <f>'Male Individual Rope Singles'!B25</f>
        <v>MSRx</v>
      </c>
      <c r="D38" t="str">
        <f>'Male Individual Rope Singles'!C25</f>
        <v>15-16</v>
      </c>
      <c r="E38">
        <f>'Male Individual Rope Singles'!D25</f>
        <v>0</v>
      </c>
    </row>
    <row r="39" spans="1:5" x14ac:dyDescent="0.25">
      <c r="A39">
        <f>'Team Info'!$B$3</f>
        <v>0</v>
      </c>
      <c r="B39">
        <f>'Male Individual Rope Singles'!A26</f>
        <v>2</v>
      </c>
      <c r="C39" t="str">
        <f>'Male Individual Rope Singles'!B26</f>
        <v>MSRx</v>
      </c>
      <c r="D39" t="str">
        <f>'Male Individual Rope Singles'!C26</f>
        <v>15-16</v>
      </c>
      <c r="E39">
        <f>'Male Individual Rope Singles'!D26</f>
        <v>0</v>
      </c>
    </row>
    <row r="40" spans="1:5" x14ac:dyDescent="0.25">
      <c r="A40">
        <f>'Team Info'!$B$3</f>
        <v>0</v>
      </c>
      <c r="B40">
        <f>'Male Individual Rope Singles'!A27</f>
        <v>3</v>
      </c>
      <c r="C40" t="str">
        <f>'Male Individual Rope Singles'!B27</f>
        <v>MSRx</v>
      </c>
      <c r="D40" t="str">
        <f>'Male Individual Rope Singles'!C27</f>
        <v>15-16</v>
      </c>
      <c r="E40">
        <f>'Male Individual Rope Singles'!D27</f>
        <v>0</v>
      </c>
    </row>
    <row r="41" spans="1:5" x14ac:dyDescent="0.25">
      <c r="A41">
        <f>'Team Info'!$B$3</f>
        <v>0</v>
      </c>
      <c r="B41">
        <f>'Male Individual Rope Singles'!A28</f>
        <v>4</v>
      </c>
      <c r="C41" t="str">
        <f>'Male Individual Rope Singles'!B28</f>
        <v>MSRx</v>
      </c>
      <c r="D41" t="str">
        <f>'Male Individual Rope Singles'!C28</f>
        <v>15-16</v>
      </c>
      <c r="E41">
        <f>'Male Individual Rope Singles'!D28</f>
        <v>0</v>
      </c>
    </row>
    <row r="42" spans="1:5" x14ac:dyDescent="0.25">
      <c r="A42">
        <f>'Team Info'!$B$3</f>
        <v>0</v>
      </c>
      <c r="B42">
        <f>'Male Individual Rope Singles'!A29</f>
        <v>5</v>
      </c>
      <c r="C42" t="str">
        <f>'Male Individual Rope Singles'!B29</f>
        <v>MSRx</v>
      </c>
      <c r="D42" t="str">
        <f>'Male Individual Rope Singles'!C29</f>
        <v>15-16</v>
      </c>
      <c r="E42">
        <f>'Male Individual Rope Singles'!D29</f>
        <v>0</v>
      </c>
    </row>
    <row r="43" spans="1:5" x14ac:dyDescent="0.25">
      <c r="A43">
        <f>'Team Info'!$B$3</f>
        <v>0</v>
      </c>
      <c r="B43">
        <f>'Male Individual Rope Singles'!A30</f>
        <v>6</v>
      </c>
      <c r="C43" t="str">
        <f>'Male Individual Rope Singles'!B30</f>
        <v>MSRx</v>
      </c>
      <c r="D43" t="str">
        <f>'Male Individual Rope Singles'!C30</f>
        <v>15-16</v>
      </c>
      <c r="E43">
        <f>'Male Individual Rope Singles'!D30</f>
        <v>0</v>
      </c>
    </row>
    <row r="44" spans="1:5" x14ac:dyDescent="0.25">
      <c r="A44">
        <f>'Team Info'!$B$3</f>
        <v>0</v>
      </c>
      <c r="B44">
        <f>'Male Individual Rope Singles'!A31</f>
        <v>7</v>
      </c>
      <c r="C44" t="str">
        <f>'Male Individual Rope Singles'!B31</f>
        <v>MSRx</v>
      </c>
      <c r="D44" t="str">
        <f>'Male Individual Rope Singles'!C31</f>
        <v>15-16</v>
      </c>
      <c r="E44">
        <f>'Male Individual Rope Singles'!D31</f>
        <v>0</v>
      </c>
    </row>
    <row r="45" spans="1:5" x14ac:dyDescent="0.25">
      <c r="A45">
        <f>'Team Info'!$B$3</f>
        <v>0</v>
      </c>
      <c r="B45">
        <f>'Male Individual Rope Singles'!A32</f>
        <v>8</v>
      </c>
      <c r="C45" t="str">
        <f>'Male Individual Rope Singles'!B32</f>
        <v>MSRx</v>
      </c>
      <c r="D45" t="str">
        <f>'Male Individual Rope Singles'!C32</f>
        <v>15-16</v>
      </c>
      <c r="E45">
        <f>'Male Individual Rope Singles'!D32</f>
        <v>0</v>
      </c>
    </row>
    <row r="46" spans="1:5" x14ac:dyDescent="0.25">
      <c r="A46">
        <f>'Team Info'!$B$3</f>
        <v>0</v>
      </c>
      <c r="B46">
        <f>'Male Individual Rope Singles'!H25</f>
        <v>1</v>
      </c>
      <c r="C46" t="str">
        <f>'Male Individual Rope Singles'!I25</f>
        <v>MSRx</v>
      </c>
      <c r="D46" t="str">
        <f>'Male Individual Rope Singles'!J25</f>
        <v>17-18</v>
      </c>
      <c r="E46">
        <f>'Male Individual Rope Singles'!K25</f>
        <v>0</v>
      </c>
    </row>
    <row r="47" spans="1:5" x14ac:dyDescent="0.25">
      <c r="A47">
        <f>'Team Info'!$B$3</f>
        <v>0</v>
      </c>
      <c r="B47">
        <f>'Male Individual Rope Singles'!H26</f>
        <v>2</v>
      </c>
      <c r="C47" t="str">
        <f>'Male Individual Rope Singles'!I26</f>
        <v>MSRx</v>
      </c>
      <c r="D47" t="str">
        <f>'Male Individual Rope Singles'!J26</f>
        <v>17-18</v>
      </c>
      <c r="E47">
        <f>'Male Individual Rope Singles'!K26</f>
        <v>0</v>
      </c>
    </row>
    <row r="48" spans="1:5" x14ac:dyDescent="0.25">
      <c r="A48">
        <f>'Team Info'!$B$3</f>
        <v>0</v>
      </c>
      <c r="B48">
        <f>'Male Individual Rope Singles'!H27</f>
        <v>3</v>
      </c>
      <c r="C48" t="str">
        <f>'Male Individual Rope Singles'!I27</f>
        <v>MSRx</v>
      </c>
      <c r="D48" t="str">
        <f>'Male Individual Rope Singles'!J27</f>
        <v>17-18</v>
      </c>
      <c r="E48">
        <f>'Male Individual Rope Singles'!K27</f>
        <v>0</v>
      </c>
    </row>
    <row r="49" spans="1:5" x14ac:dyDescent="0.25">
      <c r="A49">
        <f>'Team Info'!$B$3</f>
        <v>0</v>
      </c>
      <c r="B49">
        <f>'Male Individual Rope Singles'!H28</f>
        <v>4</v>
      </c>
      <c r="C49" t="str">
        <f>'Male Individual Rope Singles'!I28</f>
        <v>MSRx</v>
      </c>
      <c r="D49" t="str">
        <f>'Male Individual Rope Singles'!J28</f>
        <v>17-18</v>
      </c>
      <c r="E49">
        <f>'Male Individual Rope Singles'!K28</f>
        <v>0</v>
      </c>
    </row>
    <row r="50" spans="1:5" x14ac:dyDescent="0.25">
      <c r="A50">
        <f>'Team Info'!$B$3</f>
        <v>0</v>
      </c>
      <c r="B50">
        <f>'Male Individual Rope Singles'!H29</f>
        <v>5</v>
      </c>
      <c r="C50" t="str">
        <f>'Male Individual Rope Singles'!I29</f>
        <v>MSRx</v>
      </c>
      <c r="D50" t="str">
        <f>'Male Individual Rope Singles'!J29</f>
        <v>17-18</v>
      </c>
      <c r="E50">
        <f>'Male Individual Rope Singles'!K29</f>
        <v>0</v>
      </c>
    </row>
    <row r="51" spans="1:5" x14ac:dyDescent="0.25">
      <c r="A51">
        <f>'Team Info'!$B$3</f>
        <v>0</v>
      </c>
      <c r="B51">
        <f>'Male Individual Rope Singles'!H30</f>
        <v>6</v>
      </c>
      <c r="C51" t="str">
        <f>'Male Individual Rope Singles'!I30</f>
        <v>MSRx</v>
      </c>
      <c r="D51" t="str">
        <f>'Male Individual Rope Singles'!J30</f>
        <v>17-18</v>
      </c>
      <c r="E51">
        <f>'Male Individual Rope Singles'!K30</f>
        <v>0</v>
      </c>
    </row>
    <row r="52" spans="1:5" x14ac:dyDescent="0.25">
      <c r="A52">
        <f>'Team Info'!$B$3</f>
        <v>0</v>
      </c>
      <c r="B52">
        <f>'Male Individual Rope Singles'!H31</f>
        <v>7</v>
      </c>
      <c r="C52" t="str">
        <f>'Male Individual Rope Singles'!I31</f>
        <v>MSRx</v>
      </c>
      <c r="D52" t="str">
        <f>'Male Individual Rope Singles'!J31</f>
        <v>17-18</v>
      </c>
      <c r="E52">
        <f>'Male Individual Rope Singles'!K31</f>
        <v>0</v>
      </c>
    </row>
    <row r="53" spans="1:5" x14ac:dyDescent="0.25">
      <c r="A53">
        <f>'Team Info'!$B$3</f>
        <v>0</v>
      </c>
      <c r="B53">
        <f>'Male Individual Rope Singles'!H32</f>
        <v>8</v>
      </c>
      <c r="C53" t="str">
        <f>'Male Individual Rope Singles'!I32</f>
        <v>MSRx</v>
      </c>
      <c r="D53" t="str">
        <f>'Male Individual Rope Singles'!J32</f>
        <v>17-18</v>
      </c>
      <c r="E53">
        <f>'Male Individual Rope Singles'!K32</f>
        <v>0</v>
      </c>
    </row>
    <row r="54" spans="1:5" x14ac:dyDescent="0.25">
      <c r="A54">
        <f>'Team Info'!$B$3</f>
        <v>0</v>
      </c>
      <c r="B54">
        <f>'Male Individual Rope Singles'!A35</f>
        <v>1</v>
      </c>
      <c r="C54" t="str">
        <f>'Male Individual Rope Singles'!B35</f>
        <v>MSRx</v>
      </c>
      <c r="D54" t="str">
        <f>'Male Individual Rope Singles'!C35</f>
        <v>19-22</v>
      </c>
      <c r="E54">
        <f>'Male Individual Rope Singles'!D35</f>
        <v>0</v>
      </c>
    </row>
    <row r="55" spans="1:5" x14ac:dyDescent="0.25">
      <c r="A55">
        <f>'Team Info'!$B$3</f>
        <v>0</v>
      </c>
      <c r="B55">
        <f>'Male Individual Rope Singles'!A36</f>
        <v>2</v>
      </c>
      <c r="C55" t="str">
        <f>'Male Individual Rope Singles'!B36</f>
        <v>MSRx</v>
      </c>
      <c r="D55" t="str">
        <f>'Male Individual Rope Singles'!C36</f>
        <v>19-22</v>
      </c>
      <c r="E55">
        <f>'Male Individual Rope Singles'!D36</f>
        <v>0</v>
      </c>
    </row>
    <row r="56" spans="1:5" x14ac:dyDescent="0.25">
      <c r="A56">
        <f>'Team Info'!$B$3</f>
        <v>0</v>
      </c>
      <c r="B56">
        <f>'Male Individual Rope Singles'!A37</f>
        <v>3</v>
      </c>
      <c r="C56" t="str">
        <f>'Male Individual Rope Singles'!B37</f>
        <v>MSRx</v>
      </c>
      <c r="D56" t="str">
        <f>'Male Individual Rope Singles'!C37</f>
        <v>19-22</v>
      </c>
      <c r="E56">
        <f>'Male Individual Rope Singles'!D37</f>
        <v>0</v>
      </c>
    </row>
    <row r="57" spans="1:5" x14ac:dyDescent="0.25">
      <c r="A57">
        <f>'Team Info'!$B$3</f>
        <v>0</v>
      </c>
      <c r="B57">
        <f>'Male Individual Rope Singles'!A38</f>
        <v>4</v>
      </c>
      <c r="C57" t="str">
        <f>'Male Individual Rope Singles'!B38</f>
        <v>MSRx</v>
      </c>
      <c r="D57" t="str">
        <f>'Male Individual Rope Singles'!C38</f>
        <v>19-22</v>
      </c>
      <c r="E57">
        <f>'Male Individual Rope Singles'!D38</f>
        <v>0</v>
      </c>
    </row>
    <row r="58" spans="1:5" x14ac:dyDescent="0.25">
      <c r="A58">
        <f>'Team Info'!$B$3</f>
        <v>0</v>
      </c>
      <c r="B58">
        <f>'Male Individual Rope Singles'!A39</f>
        <v>5</v>
      </c>
      <c r="C58" t="str">
        <f>'Male Individual Rope Singles'!B39</f>
        <v>MSRx</v>
      </c>
      <c r="D58" t="str">
        <f>'Male Individual Rope Singles'!C39</f>
        <v>19-22</v>
      </c>
      <c r="E58">
        <f>'Male Individual Rope Singles'!D39</f>
        <v>0</v>
      </c>
    </row>
    <row r="59" spans="1:5" x14ac:dyDescent="0.25">
      <c r="A59">
        <f>'Team Info'!$B$3</f>
        <v>0</v>
      </c>
      <c r="B59">
        <f>'Male Individual Rope Singles'!A40</f>
        <v>6</v>
      </c>
      <c r="C59" t="str">
        <f>'Male Individual Rope Singles'!B40</f>
        <v>MSRx</v>
      </c>
      <c r="D59" t="str">
        <f>'Male Individual Rope Singles'!C40</f>
        <v>19-22</v>
      </c>
      <c r="E59">
        <f>'Male Individual Rope Singles'!D40</f>
        <v>0</v>
      </c>
    </row>
    <row r="60" spans="1:5" x14ac:dyDescent="0.25">
      <c r="A60">
        <f>'Team Info'!$B$3</f>
        <v>0</v>
      </c>
      <c r="B60">
        <f>'Male Individual Rope Singles'!A41</f>
        <v>7</v>
      </c>
      <c r="C60" t="str">
        <f>'Male Individual Rope Singles'!B41</f>
        <v>MSRx</v>
      </c>
      <c r="D60" t="str">
        <f>'Male Individual Rope Singles'!C41</f>
        <v>19-22</v>
      </c>
      <c r="E60">
        <f>'Male Individual Rope Singles'!D41</f>
        <v>0</v>
      </c>
    </row>
    <row r="61" spans="1:5" x14ac:dyDescent="0.25">
      <c r="A61">
        <f>'Team Info'!$B$3</f>
        <v>0</v>
      </c>
      <c r="B61">
        <f>'Male Individual Rope Singles'!A42</f>
        <v>8</v>
      </c>
      <c r="C61" t="str">
        <f>'Male Individual Rope Singles'!B42</f>
        <v>MSRx</v>
      </c>
      <c r="D61" t="str">
        <f>'Male Individual Rope Singles'!C42</f>
        <v>19-22</v>
      </c>
      <c r="E61">
        <f>'Male Individual Rope Singles'!D42</f>
        <v>0</v>
      </c>
    </row>
    <row r="62" spans="1:5" x14ac:dyDescent="0.25">
      <c r="A62">
        <f>'Team Info'!$B$3</f>
        <v>0</v>
      </c>
      <c r="B62">
        <f>'Female Individual Rope Singles'!A5</f>
        <v>1</v>
      </c>
      <c r="C62" t="str">
        <f>'Female Individual Rope Singles'!B5</f>
        <v>FSRx</v>
      </c>
      <c r="D62" t="str">
        <f>'Female Individual Rope Singles'!C5</f>
        <v>8-under</v>
      </c>
      <c r="E62">
        <f>'Female Individual Rope Singles'!D5</f>
        <v>0</v>
      </c>
    </row>
    <row r="63" spans="1:5" x14ac:dyDescent="0.25">
      <c r="A63">
        <f>'Team Info'!$B$3</f>
        <v>0</v>
      </c>
      <c r="B63">
        <f>'Female Individual Rope Singles'!A6</f>
        <v>2</v>
      </c>
      <c r="C63" t="str">
        <f>'Female Individual Rope Singles'!B6</f>
        <v>FSRx</v>
      </c>
      <c r="D63" t="str">
        <f>'Female Individual Rope Singles'!C6</f>
        <v>8-under</v>
      </c>
      <c r="E63">
        <f>'Female Individual Rope Singles'!D6</f>
        <v>0</v>
      </c>
    </row>
    <row r="64" spans="1:5" x14ac:dyDescent="0.25">
      <c r="A64">
        <f>'Team Info'!$B$3</f>
        <v>0</v>
      </c>
      <c r="B64">
        <f>'Female Individual Rope Singles'!A7</f>
        <v>3</v>
      </c>
      <c r="C64" t="str">
        <f>'Female Individual Rope Singles'!B7</f>
        <v>FSRx</v>
      </c>
      <c r="D64" t="str">
        <f>'Female Individual Rope Singles'!C7</f>
        <v>8-under</v>
      </c>
      <c r="E64">
        <f>'Female Individual Rope Singles'!D7</f>
        <v>0</v>
      </c>
    </row>
    <row r="65" spans="1:5" x14ac:dyDescent="0.25">
      <c r="A65">
        <f>'Team Info'!$B$3</f>
        <v>0</v>
      </c>
      <c r="B65">
        <f>'Female Individual Rope Singles'!A8</f>
        <v>4</v>
      </c>
      <c r="C65" t="str">
        <f>'Female Individual Rope Singles'!B8</f>
        <v>FSRx</v>
      </c>
      <c r="D65" t="str">
        <f>'Female Individual Rope Singles'!C8</f>
        <v>8-under</v>
      </c>
      <c r="E65">
        <f>'Female Individual Rope Singles'!D8</f>
        <v>0</v>
      </c>
    </row>
    <row r="66" spans="1:5" x14ac:dyDescent="0.25">
      <c r="A66">
        <f>'Team Info'!$B$3</f>
        <v>0</v>
      </c>
      <c r="B66">
        <f>'Female Individual Rope Singles'!A9</f>
        <v>5</v>
      </c>
      <c r="C66" t="str">
        <f>'Female Individual Rope Singles'!B9</f>
        <v>FSRx</v>
      </c>
      <c r="D66" t="str">
        <f>'Female Individual Rope Singles'!C9</f>
        <v>8-under</v>
      </c>
      <c r="E66">
        <f>'Female Individual Rope Singles'!D9</f>
        <v>0</v>
      </c>
    </row>
    <row r="67" spans="1:5" x14ac:dyDescent="0.25">
      <c r="A67">
        <f>'Team Info'!$B$3</f>
        <v>0</v>
      </c>
      <c r="B67">
        <f>'Female Individual Rope Singles'!A10</f>
        <v>6</v>
      </c>
      <c r="C67" t="str">
        <f>'Female Individual Rope Singles'!B10</f>
        <v>FSRx</v>
      </c>
      <c r="D67" t="str">
        <f>'Female Individual Rope Singles'!C10</f>
        <v>8-under</v>
      </c>
      <c r="E67">
        <f>'Female Individual Rope Singles'!D10</f>
        <v>0</v>
      </c>
    </row>
    <row r="68" spans="1:5" x14ac:dyDescent="0.25">
      <c r="A68">
        <f>'Team Info'!$B$3</f>
        <v>0</v>
      </c>
      <c r="B68">
        <f>'Female Individual Rope Singles'!A11</f>
        <v>7</v>
      </c>
      <c r="C68" t="str">
        <f>'Female Individual Rope Singles'!B11</f>
        <v>FSRx</v>
      </c>
      <c r="D68" t="str">
        <f>'Female Individual Rope Singles'!C11</f>
        <v>8-under</v>
      </c>
      <c r="E68">
        <f>'Female Individual Rope Singles'!D11</f>
        <v>0</v>
      </c>
    </row>
    <row r="69" spans="1:5" x14ac:dyDescent="0.25">
      <c r="A69">
        <f>'Team Info'!$B$3</f>
        <v>0</v>
      </c>
      <c r="B69">
        <f>'Female Individual Rope Singles'!A12</f>
        <v>8</v>
      </c>
      <c r="C69" t="str">
        <f>'Female Individual Rope Singles'!B12</f>
        <v>FSRx</v>
      </c>
      <c r="D69" t="str">
        <f>'Female Individual Rope Singles'!C12</f>
        <v>8-under</v>
      </c>
      <c r="E69">
        <f>'Female Individual Rope Singles'!D12</f>
        <v>0</v>
      </c>
    </row>
    <row r="70" spans="1:5" x14ac:dyDescent="0.25">
      <c r="A70">
        <f>'Team Info'!$B$3</f>
        <v>0</v>
      </c>
      <c r="B70">
        <f>'Female Individual Rope Singles'!A13</f>
        <v>9</v>
      </c>
      <c r="C70" t="str">
        <f>'Female Individual Rope Singles'!B13</f>
        <v>FSRx</v>
      </c>
      <c r="D70" t="str">
        <f>'Female Individual Rope Singles'!C13</f>
        <v>8-under</v>
      </c>
      <c r="E70">
        <f>'Female Individual Rope Singles'!D13</f>
        <v>0</v>
      </c>
    </row>
    <row r="71" spans="1:5" x14ac:dyDescent="0.25">
      <c r="A71">
        <f>'Team Info'!$B$3</f>
        <v>0</v>
      </c>
      <c r="B71">
        <f>'Female Individual Rope Singles'!A14</f>
        <v>10</v>
      </c>
      <c r="C71" t="str">
        <f>'Female Individual Rope Singles'!B14</f>
        <v>FSRx</v>
      </c>
      <c r="D71" t="str">
        <f>'Female Individual Rope Singles'!C14</f>
        <v>8-under</v>
      </c>
      <c r="E71">
        <f>'Female Individual Rope Singles'!D14</f>
        <v>0</v>
      </c>
    </row>
    <row r="72" spans="1:5" x14ac:dyDescent="0.25">
      <c r="A72">
        <f>'Team Info'!$B$3</f>
        <v>0</v>
      </c>
      <c r="B72">
        <f>'Female Individual Rope Singles'!A17</f>
        <v>1</v>
      </c>
      <c r="C72" t="str">
        <f>'Female Individual Rope Singles'!B17</f>
        <v>FSRx</v>
      </c>
      <c r="D72">
        <f>'Female Individual Rope Singles'!C17</f>
        <v>10</v>
      </c>
      <c r="E72">
        <f>'Female Individual Rope Singles'!D17</f>
        <v>0</v>
      </c>
    </row>
    <row r="73" spans="1:5" x14ac:dyDescent="0.25">
      <c r="A73">
        <f>'Team Info'!$B$3</f>
        <v>0</v>
      </c>
      <c r="B73">
        <f>'Female Individual Rope Singles'!A18</f>
        <v>2</v>
      </c>
      <c r="C73" t="str">
        <f>'Female Individual Rope Singles'!B18</f>
        <v>FSRx</v>
      </c>
      <c r="D73">
        <f>'Female Individual Rope Singles'!C18</f>
        <v>10</v>
      </c>
      <c r="E73">
        <f>'Female Individual Rope Singles'!D18</f>
        <v>0</v>
      </c>
    </row>
    <row r="74" spans="1:5" x14ac:dyDescent="0.25">
      <c r="A74">
        <f>'Team Info'!$B$3</f>
        <v>0</v>
      </c>
      <c r="B74">
        <f>'Female Individual Rope Singles'!A19</f>
        <v>3</v>
      </c>
      <c r="C74" t="str">
        <f>'Female Individual Rope Singles'!B19</f>
        <v>FSRx</v>
      </c>
      <c r="D74">
        <f>'Female Individual Rope Singles'!C19</f>
        <v>10</v>
      </c>
      <c r="E74">
        <f>'Female Individual Rope Singles'!D19</f>
        <v>0</v>
      </c>
    </row>
    <row r="75" spans="1:5" x14ac:dyDescent="0.25">
      <c r="A75">
        <f>'Team Info'!$B$3</f>
        <v>0</v>
      </c>
      <c r="B75">
        <f>'Female Individual Rope Singles'!A20</f>
        <v>4</v>
      </c>
      <c r="C75" t="str">
        <f>'Female Individual Rope Singles'!B20</f>
        <v>FSRx</v>
      </c>
      <c r="D75">
        <f>'Female Individual Rope Singles'!C20</f>
        <v>10</v>
      </c>
      <c r="E75">
        <f>'Female Individual Rope Singles'!D20</f>
        <v>0</v>
      </c>
    </row>
    <row r="76" spans="1:5" x14ac:dyDescent="0.25">
      <c r="A76">
        <f>'Team Info'!$B$3</f>
        <v>0</v>
      </c>
      <c r="B76">
        <f>'Female Individual Rope Singles'!A21</f>
        <v>5</v>
      </c>
      <c r="C76" t="str">
        <f>'Female Individual Rope Singles'!B21</f>
        <v>FSRx</v>
      </c>
      <c r="D76">
        <f>'Female Individual Rope Singles'!C21</f>
        <v>10</v>
      </c>
      <c r="E76">
        <f>'Female Individual Rope Singles'!D21</f>
        <v>0</v>
      </c>
    </row>
    <row r="77" spans="1:5" x14ac:dyDescent="0.25">
      <c r="A77">
        <f>'Team Info'!$B$3</f>
        <v>0</v>
      </c>
      <c r="B77">
        <f>'Female Individual Rope Singles'!A22</f>
        <v>6</v>
      </c>
      <c r="C77" t="str">
        <f>'Female Individual Rope Singles'!B22</f>
        <v>FSRx</v>
      </c>
      <c r="D77">
        <f>'Female Individual Rope Singles'!C22</f>
        <v>10</v>
      </c>
      <c r="E77">
        <f>'Female Individual Rope Singles'!D22</f>
        <v>0</v>
      </c>
    </row>
    <row r="78" spans="1:5" x14ac:dyDescent="0.25">
      <c r="A78">
        <f>'Team Info'!$B$3</f>
        <v>0</v>
      </c>
      <c r="B78">
        <f>'Female Individual Rope Singles'!A23</f>
        <v>7</v>
      </c>
      <c r="C78" t="str">
        <f>'Female Individual Rope Singles'!B23</f>
        <v>FSRx</v>
      </c>
      <c r="D78">
        <f>'Female Individual Rope Singles'!C23</f>
        <v>10</v>
      </c>
      <c r="E78">
        <f>'Female Individual Rope Singles'!D23</f>
        <v>0</v>
      </c>
    </row>
    <row r="79" spans="1:5" x14ac:dyDescent="0.25">
      <c r="A79">
        <f>'Team Info'!$B$3</f>
        <v>0</v>
      </c>
      <c r="B79">
        <f>'Female Individual Rope Singles'!A24</f>
        <v>8</v>
      </c>
      <c r="C79" t="str">
        <f>'Female Individual Rope Singles'!B24</f>
        <v>FSRx</v>
      </c>
      <c r="D79">
        <f>'Female Individual Rope Singles'!C24</f>
        <v>10</v>
      </c>
      <c r="E79">
        <f>'Female Individual Rope Singles'!D24</f>
        <v>0</v>
      </c>
    </row>
    <row r="80" spans="1:5" x14ac:dyDescent="0.25">
      <c r="A80">
        <f>'Team Info'!$B$3</f>
        <v>0</v>
      </c>
      <c r="B80">
        <f>'Female Individual Rope Singles'!A25</f>
        <v>9</v>
      </c>
      <c r="C80" t="str">
        <f>'Female Individual Rope Singles'!B25</f>
        <v>FSRx</v>
      </c>
      <c r="D80">
        <f>'Female Individual Rope Singles'!C25</f>
        <v>10</v>
      </c>
      <c r="E80">
        <f>'Female Individual Rope Singles'!D25</f>
        <v>0</v>
      </c>
    </row>
    <row r="81" spans="1:5" x14ac:dyDescent="0.25">
      <c r="A81">
        <f>'Team Info'!$B$3</f>
        <v>0</v>
      </c>
      <c r="B81">
        <f>'Female Individual Rope Singles'!A26</f>
        <v>10</v>
      </c>
      <c r="C81" t="str">
        <f>'Female Individual Rope Singles'!B26</f>
        <v>FSRx</v>
      </c>
      <c r="D81">
        <f>'Female Individual Rope Singles'!C26</f>
        <v>10</v>
      </c>
      <c r="E81">
        <f>'Female Individual Rope Singles'!D26</f>
        <v>0</v>
      </c>
    </row>
    <row r="82" spans="1:5" x14ac:dyDescent="0.25">
      <c r="A82">
        <f>'Team Info'!$B$3</f>
        <v>0</v>
      </c>
      <c r="B82">
        <f>'Female Individual Rope Singles'!A27</f>
        <v>11</v>
      </c>
      <c r="C82" t="str">
        <f>'Female Individual Rope Singles'!B27</f>
        <v>FSRx</v>
      </c>
      <c r="D82">
        <f>'Female Individual Rope Singles'!C27</f>
        <v>10</v>
      </c>
      <c r="E82">
        <f>'Female Individual Rope Singles'!D27</f>
        <v>0</v>
      </c>
    </row>
    <row r="83" spans="1:5" x14ac:dyDescent="0.25">
      <c r="A83">
        <f>'Team Info'!$B$3</f>
        <v>0</v>
      </c>
      <c r="B83">
        <f>'Female Individual Rope Singles'!A28</f>
        <v>12</v>
      </c>
      <c r="C83" t="str">
        <f>'Female Individual Rope Singles'!B28</f>
        <v>FSRx</v>
      </c>
      <c r="D83">
        <f>'Female Individual Rope Singles'!C28</f>
        <v>10</v>
      </c>
      <c r="E83">
        <f>'Female Individual Rope Singles'!D28</f>
        <v>0</v>
      </c>
    </row>
    <row r="84" spans="1:5" x14ac:dyDescent="0.25">
      <c r="A84">
        <f>'Team Info'!$B$3</f>
        <v>0</v>
      </c>
      <c r="B84">
        <f>'Female Individual Rope Singles'!A29</f>
        <v>13</v>
      </c>
      <c r="C84" t="str">
        <f>'Female Individual Rope Singles'!B29</f>
        <v>FSRx</v>
      </c>
      <c r="D84">
        <f>'Female Individual Rope Singles'!C29</f>
        <v>10</v>
      </c>
      <c r="E84">
        <f>'Female Individual Rope Singles'!D29</f>
        <v>0</v>
      </c>
    </row>
    <row r="85" spans="1:5" x14ac:dyDescent="0.25">
      <c r="A85">
        <f>'Team Info'!$B$3</f>
        <v>0</v>
      </c>
      <c r="B85">
        <f>'Female Individual Rope Singles'!A30</f>
        <v>14</v>
      </c>
      <c r="C85" t="str">
        <f>'Female Individual Rope Singles'!B30</f>
        <v>FSRx</v>
      </c>
      <c r="D85">
        <f>'Female Individual Rope Singles'!C30</f>
        <v>10</v>
      </c>
      <c r="E85">
        <f>'Female Individual Rope Singles'!D30</f>
        <v>0</v>
      </c>
    </row>
    <row r="86" spans="1:5" x14ac:dyDescent="0.25">
      <c r="A86">
        <f>'Team Info'!$B$3</f>
        <v>0</v>
      </c>
      <c r="B86">
        <f>'Female Individual Rope Singles'!A31</f>
        <v>15</v>
      </c>
      <c r="C86" t="str">
        <f>'Female Individual Rope Singles'!B31</f>
        <v>FSRx</v>
      </c>
      <c r="D86">
        <f>'Female Individual Rope Singles'!C31</f>
        <v>10</v>
      </c>
      <c r="E86">
        <f>'Female Individual Rope Singles'!D31</f>
        <v>0</v>
      </c>
    </row>
    <row r="87" spans="1:5" x14ac:dyDescent="0.25">
      <c r="A87">
        <f>'Team Info'!$B$3</f>
        <v>0</v>
      </c>
      <c r="B87">
        <f>'Female Individual Rope Singles'!A32</f>
        <v>16</v>
      </c>
      <c r="C87" t="str">
        <f>'Female Individual Rope Singles'!B32</f>
        <v>FSRx</v>
      </c>
      <c r="D87">
        <f>'Female Individual Rope Singles'!C32</f>
        <v>10</v>
      </c>
      <c r="E87">
        <f>'Female Individual Rope Singles'!D32</f>
        <v>0</v>
      </c>
    </row>
    <row r="88" spans="1:5" x14ac:dyDescent="0.25">
      <c r="A88">
        <f>'Team Info'!$B$3</f>
        <v>0</v>
      </c>
      <c r="B88">
        <f>'Female Individual Rope Singles'!A33</f>
        <v>17</v>
      </c>
      <c r="C88" t="str">
        <f>'Female Individual Rope Singles'!B33</f>
        <v>FSRx</v>
      </c>
      <c r="D88">
        <f>'Female Individual Rope Singles'!C33</f>
        <v>10</v>
      </c>
      <c r="E88">
        <f>'Female Individual Rope Singles'!D33</f>
        <v>0</v>
      </c>
    </row>
    <row r="89" spans="1:5" x14ac:dyDescent="0.25">
      <c r="A89">
        <f>'Team Info'!$B$3</f>
        <v>0</v>
      </c>
      <c r="B89">
        <f>'Female Individual Rope Singles'!A34</f>
        <v>18</v>
      </c>
      <c r="C89" t="str">
        <f>'Female Individual Rope Singles'!B34</f>
        <v>FSRx</v>
      </c>
      <c r="D89">
        <f>'Female Individual Rope Singles'!C34</f>
        <v>10</v>
      </c>
      <c r="E89">
        <f>'Female Individual Rope Singles'!D34</f>
        <v>0</v>
      </c>
    </row>
    <row r="90" spans="1:5" x14ac:dyDescent="0.25">
      <c r="A90">
        <f>'Team Info'!$B$3</f>
        <v>0</v>
      </c>
      <c r="B90">
        <f>'Female Individual Rope Singles'!A35</f>
        <v>19</v>
      </c>
      <c r="C90" t="str">
        <f>'Female Individual Rope Singles'!B35</f>
        <v>FSRx</v>
      </c>
      <c r="D90">
        <f>'Female Individual Rope Singles'!C35</f>
        <v>10</v>
      </c>
      <c r="E90">
        <f>'Female Individual Rope Singles'!D35</f>
        <v>0</v>
      </c>
    </row>
    <row r="91" spans="1:5" x14ac:dyDescent="0.25">
      <c r="A91">
        <f>'Team Info'!$B$3</f>
        <v>0</v>
      </c>
      <c r="B91">
        <f>'Female Individual Rope Singles'!A36</f>
        <v>20</v>
      </c>
      <c r="C91" t="str">
        <f>'Female Individual Rope Singles'!B36</f>
        <v>FSRx</v>
      </c>
      <c r="D91">
        <f>'Female Individual Rope Singles'!C36</f>
        <v>10</v>
      </c>
      <c r="E91">
        <f>'Female Individual Rope Singles'!D36</f>
        <v>0</v>
      </c>
    </row>
    <row r="92" spans="1:5" x14ac:dyDescent="0.25">
      <c r="A92">
        <f>'Team Info'!$B$3</f>
        <v>0</v>
      </c>
      <c r="B92">
        <f>'Female Individual Rope Singles'!A39</f>
        <v>1</v>
      </c>
      <c r="C92" t="str">
        <f>'Female Individual Rope Singles'!B39</f>
        <v>FSRx</v>
      </c>
      <c r="D92">
        <f>'Female Individual Rope Singles'!C39</f>
        <v>12</v>
      </c>
      <c r="E92">
        <f>'Female Individual Rope Singles'!D39</f>
        <v>0</v>
      </c>
    </row>
    <row r="93" spans="1:5" x14ac:dyDescent="0.25">
      <c r="A93">
        <f>'Team Info'!$B$3</f>
        <v>0</v>
      </c>
      <c r="B93">
        <f>'Female Individual Rope Singles'!A40</f>
        <v>2</v>
      </c>
      <c r="C93" t="str">
        <f>'Female Individual Rope Singles'!B40</f>
        <v>FSRx</v>
      </c>
      <c r="D93">
        <f>'Female Individual Rope Singles'!C40</f>
        <v>12</v>
      </c>
      <c r="E93">
        <f>'Female Individual Rope Singles'!D40</f>
        <v>0</v>
      </c>
    </row>
    <row r="94" spans="1:5" x14ac:dyDescent="0.25">
      <c r="A94">
        <f>'Team Info'!$B$3</f>
        <v>0</v>
      </c>
      <c r="B94">
        <f>'Female Individual Rope Singles'!A41</f>
        <v>3</v>
      </c>
      <c r="C94" t="str">
        <f>'Female Individual Rope Singles'!B41</f>
        <v>FSRx</v>
      </c>
      <c r="D94">
        <f>'Female Individual Rope Singles'!C41</f>
        <v>12</v>
      </c>
      <c r="E94">
        <f>'Female Individual Rope Singles'!D41</f>
        <v>0</v>
      </c>
    </row>
    <row r="95" spans="1:5" x14ac:dyDescent="0.25">
      <c r="A95">
        <f>'Team Info'!$B$3</f>
        <v>0</v>
      </c>
      <c r="B95">
        <f>'Female Individual Rope Singles'!A42</f>
        <v>4</v>
      </c>
      <c r="C95" t="str">
        <f>'Female Individual Rope Singles'!B42</f>
        <v>FSRx</v>
      </c>
      <c r="D95">
        <f>'Female Individual Rope Singles'!C42</f>
        <v>12</v>
      </c>
      <c r="E95">
        <f>'Female Individual Rope Singles'!D42</f>
        <v>0</v>
      </c>
    </row>
    <row r="96" spans="1:5" x14ac:dyDescent="0.25">
      <c r="A96">
        <f>'Team Info'!$B$3</f>
        <v>0</v>
      </c>
      <c r="B96">
        <f>'Female Individual Rope Singles'!A43</f>
        <v>5</v>
      </c>
      <c r="C96" t="str">
        <f>'Female Individual Rope Singles'!B43</f>
        <v>FSRx</v>
      </c>
      <c r="D96">
        <f>'Female Individual Rope Singles'!C43</f>
        <v>12</v>
      </c>
      <c r="E96">
        <f>'Female Individual Rope Singles'!D43</f>
        <v>0</v>
      </c>
    </row>
    <row r="97" spans="1:5" x14ac:dyDescent="0.25">
      <c r="A97">
        <f>'Team Info'!$B$3</f>
        <v>0</v>
      </c>
      <c r="B97">
        <f>'Female Individual Rope Singles'!A44</f>
        <v>6</v>
      </c>
      <c r="C97" t="str">
        <f>'Female Individual Rope Singles'!B44</f>
        <v>FSRx</v>
      </c>
      <c r="D97">
        <f>'Female Individual Rope Singles'!C44</f>
        <v>12</v>
      </c>
      <c r="E97">
        <f>'Female Individual Rope Singles'!D44</f>
        <v>0</v>
      </c>
    </row>
    <row r="98" spans="1:5" x14ac:dyDescent="0.25">
      <c r="A98">
        <f>'Team Info'!$B$3</f>
        <v>0</v>
      </c>
      <c r="B98">
        <f>'Female Individual Rope Singles'!A45</f>
        <v>7</v>
      </c>
      <c r="C98" t="str">
        <f>'Female Individual Rope Singles'!B45</f>
        <v>FSRx</v>
      </c>
      <c r="D98">
        <f>'Female Individual Rope Singles'!C45</f>
        <v>12</v>
      </c>
      <c r="E98">
        <f>'Female Individual Rope Singles'!D45</f>
        <v>0</v>
      </c>
    </row>
    <row r="99" spans="1:5" x14ac:dyDescent="0.25">
      <c r="A99">
        <f>'Team Info'!$B$3</f>
        <v>0</v>
      </c>
      <c r="B99">
        <f>'Female Individual Rope Singles'!A46</f>
        <v>8</v>
      </c>
      <c r="C99" t="str">
        <f>'Female Individual Rope Singles'!B46</f>
        <v>FSRx</v>
      </c>
      <c r="D99">
        <f>'Female Individual Rope Singles'!C46</f>
        <v>12</v>
      </c>
      <c r="E99">
        <f>'Female Individual Rope Singles'!D46</f>
        <v>0</v>
      </c>
    </row>
    <row r="100" spans="1:5" x14ac:dyDescent="0.25">
      <c r="A100">
        <f>'Team Info'!$B$3</f>
        <v>0</v>
      </c>
      <c r="B100">
        <f>'Female Individual Rope Singles'!A47</f>
        <v>9</v>
      </c>
      <c r="C100" t="str">
        <f>'Female Individual Rope Singles'!B47</f>
        <v>FSRx</v>
      </c>
      <c r="D100">
        <f>'Female Individual Rope Singles'!C47</f>
        <v>12</v>
      </c>
      <c r="E100">
        <f>'Female Individual Rope Singles'!D47</f>
        <v>0</v>
      </c>
    </row>
    <row r="101" spans="1:5" x14ac:dyDescent="0.25">
      <c r="A101">
        <f>'Team Info'!$B$3</f>
        <v>0</v>
      </c>
      <c r="B101">
        <f>'Female Individual Rope Singles'!A48</f>
        <v>10</v>
      </c>
      <c r="C101" t="str">
        <f>'Female Individual Rope Singles'!B48</f>
        <v>FSRx</v>
      </c>
      <c r="D101">
        <f>'Female Individual Rope Singles'!C48</f>
        <v>12</v>
      </c>
      <c r="E101">
        <f>'Female Individual Rope Singles'!D48</f>
        <v>0</v>
      </c>
    </row>
    <row r="102" spans="1:5" x14ac:dyDescent="0.25">
      <c r="A102">
        <f>'Team Info'!$B$3</f>
        <v>0</v>
      </c>
      <c r="B102">
        <f>'Female Individual Rope Singles'!A49</f>
        <v>11</v>
      </c>
      <c r="C102" t="str">
        <f>'Female Individual Rope Singles'!B49</f>
        <v>FSRx</v>
      </c>
      <c r="D102">
        <f>'Female Individual Rope Singles'!C49</f>
        <v>12</v>
      </c>
      <c r="E102">
        <f>'Female Individual Rope Singles'!D49</f>
        <v>0</v>
      </c>
    </row>
    <row r="103" spans="1:5" x14ac:dyDescent="0.25">
      <c r="A103">
        <f>'Team Info'!$B$3</f>
        <v>0</v>
      </c>
      <c r="B103">
        <f>'Female Individual Rope Singles'!A50</f>
        <v>12</v>
      </c>
      <c r="C103" t="str">
        <f>'Female Individual Rope Singles'!B50</f>
        <v>FSRx</v>
      </c>
      <c r="D103">
        <f>'Female Individual Rope Singles'!C50</f>
        <v>12</v>
      </c>
      <c r="E103">
        <f>'Female Individual Rope Singles'!D50</f>
        <v>0</v>
      </c>
    </row>
    <row r="104" spans="1:5" x14ac:dyDescent="0.25">
      <c r="A104">
        <f>'Team Info'!$B$3</f>
        <v>0</v>
      </c>
      <c r="B104">
        <f>'Female Individual Rope Singles'!A51</f>
        <v>13</v>
      </c>
      <c r="C104" t="str">
        <f>'Female Individual Rope Singles'!B51</f>
        <v>FSRx</v>
      </c>
      <c r="D104">
        <f>'Female Individual Rope Singles'!C51</f>
        <v>12</v>
      </c>
      <c r="E104">
        <f>'Female Individual Rope Singles'!D51</f>
        <v>0</v>
      </c>
    </row>
    <row r="105" spans="1:5" x14ac:dyDescent="0.25">
      <c r="A105">
        <f>'Team Info'!$B$3</f>
        <v>0</v>
      </c>
      <c r="B105">
        <f>'Female Individual Rope Singles'!A52</f>
        <v>14</v>
      </c>
      <c r="C105" t="str">
        <f>'Female Individual Rope Singles'!B52</f>
        <v>FSRx</v>
      </c>
      <c r="D105">
        <f>'Female Individual Rope Singles'!C52</f>
        <v>12</v>
      </c>
      <c r="E105">
        <f>'Female Individual Rope Singles'!D52</f>
        <v>0</v>
      </c>
    </row>
    <row r="106" spans="1:5" x14ac:dyDescent="0.25">
      <c r="A106">
        <f>'Team Info'!$B$3</f>
        <v>0</v>
      </c>
      <c r="B106">
        <f>'Female Individual Rope Singles'!A53</f>
        <v>15</v>
      </c>
      <c r="C106" t="str">
        <f>'Female Individual Rope Singles'!B53</f>
        <v>FSRx</v>
      </c>
      <c r="D106">
        <f>'Female Individual Rope Singles'!C53</f>
        <v>12</v>
      </c>
      <c r="E106">
        <f>'Female Individual Rope Singles'!D53</f>
        <v>0</v>
      </c>
    </row>
    <row r="107" spans="1:5" x14ac:dyDescent="0.25">
      <c r="A107">
        <f>'Team Info'!$B$3</f>
        <v>0</v>
      </c>
      <c r="B107">
        <f>'Female Individual Rope Singles'!A54</f>
        <v>16</v>
      </c>
      <c r="C107" t="str">
        <f>'Female Individual Rope Singles'!B54</f>
        <v>FSRx</v>
      </c>
      <c r="D107">
        <f>'Female Individual Rope Singles'!C54</f>
        <v>12</v>
      </c>
      <c r="E107">
        <f>'Female Individual Rope Singles'!D54</f>
        <v>0</v>
      </c>
    </row>
    <row r="108" spans="1:5" x14ac:dyDescent="0.25">
      <c r="A108">
        <f>'Team Info'!$B$3</f>
        <v>0</v>
      </c>
      <c r="B108">
        <f>'Female Individual Rope Singles'!A55</f>
        <v>17</v>
      </c>
      <c r="C108" t="str">
        <f>'Female Individual Rope Singles'!B55</f>
        <v>FSRx</v>
      </c>
      <c r="D108">
        <f>'Female Individual Rope Singles'!C55</f>
        <v>12</v>
      </c>
      <c r="E108">
        <f>'Female Individual Rope Singles'!D55</f>
        <v>0</v>
      </c>
    </row>
    <row r="109" spans="1:5" x14ac:dyDescent="0.25">
      <c r="A109">
        <f>'Team Info'!$B$3</f>
        <v>0</v>
      </c>
      <c r="B109">
        <f>'Female Individual Rope Singles'!A56</f>
        <v>18</v>
      </c>
      <c r="C109" t="str">
        <f>'Female Individual Rope Singles'!B56</f>
        <v>FSRx</v>
      </c>
      <c r="D109">
        <f>'Female Individual Rope Singles'!C56</f>
        <v>12</v>
      </c>
      <c r="E109">
        <f>'Female Individual Rope Singles'!D56</f>
        <v>0</v>
      </c>
    </row>
    <row r="110" spans="1:5" x14ac:dyDescent="0.25">
      <c r="A110">
        <f>'Team Info'!$B$3</f>
        <v>0</v>
      </c>
      <c r="B110">
        <f>'Female Individual Rope Singles'!A57</f>
        <v>19</v>
      </c>
      <c r="C110" t="str">
        <f>'Female Individual Rope Singles'!B57</f>
        <v>FSRx</v>
      </c>
      <c r="D110">
        <f>'Female Individual Rope Singles'!C57</f>
        <v>12</v>
      </c>
      <c r="E110">
        <f>'Female Individual Rope Singles'!D57</f>
        <v>0</v>
      </c>
    </row>
    <row r="111" spans="1:5" x14ac:dyDescent="0.25">
      <c r="A111">
        <f>'Team Info'!$B$3</f>
        <v>0</v>
      </c>
      <c r="B111">
        <f>'Female Individual Rope Singles'!A58</f>
        <v>20</v>
      </c>
      <c r="C111" t="str">
        <f>'Female Individual Rope Singles'!B58</f>
        <v>FSRx</v>
      </c>
      <c r="D111">
        <f>'Female Individual Rope Singles'!C58</f>
        <v>12</v>
      </c>
      <c r="E111">
        <f>'Female Individual Rope Singles'!D58</f>
        <v>0</v>
      </c>
    </row>
    <row r="112" spans="1:5" x14ac:dyDescent="0.25">
      <c r="A112">
        <f>'Team Info'!$B$3</f>
        <v>0</v>
      </c>
      <c r="B112">
        <f>'Female Individual Rope Singles'!A61</f>
        <v>1</v>
      </c>
      <c r="C112" t="str">
        <f>'Female Individual Rope Singles'!B61</f>
        <v>FSRx</v>
      </c>
      <c r="D112">
        <f>'Female Individual Rope Singles'!C61</f>
        <v>14</v>
      </c>
      <c r="E112">
        <f>'Female Individual Rope Singles'!D61</f>
        <v>0</v>
      </c>
    </row>
    <row r="113" spans="1:5" x14ac:dyDescent="0.25">
      <c r="A113">
        <f>'Team Info'!$B$3</f>
        <v>0</v>
      </c>
      <c r="B113">
        <f>'Female Individual Rope Singles'!A62</f>
        <v>2</v>
      </c>
      <c r="C113" t="str">
        <f>'Female Individual Rope Singles'!B62</f>
        <v>FSRx</v>
      </c>
      <c r="D113">
        <f>'Female Individual Rope Singles'!C62</f>
        <v>14</v>
      </c>
      <c r="E113">
        <f>'Female Individual Rope Singles'!D62</f>
        <v>0</v>
      </c>
    </row>
    <row r="114" spans="1:5" x14ac:dyDescent="0.25">
      <c r="A114">
        <f>'Team Info'!$B$3</f>
        <v>0</v>
      </c>
      <c r="B114">
        <f>'Female Individual Rope Singles'!A63</f>
        <v>3</v>
      </c>
      <c r="C114" t="str">
        <f>'Female Individual Rope Singles'!B63</f>
        <v>FSRx</v>
      </c>
      <c r="D114">
        <f>'Female Individual Rope Singles'!C63</f>
        <v>14</v>
      </c>
      <c r="E114">
        <f>'Female Individual Rope Singles'!D63</f>
        <v>0</v>
      </c>
    </row>
    <row r="115" spans="1:5" x14ac:dyDescent="0.25">
      <c r="A115">
        <f>'Team Info'!$B$3</f>
        <v>0</v>
      </c>
      <c r="B115">
        <f>'Female Individual Rope Singles'!A64</f>
        <v>4</v>
      </c>
      <c r="C115" t="str">
        <f>'Female Individual Rope Singles'!B64</f>
        <v>FSRx</v>
      </c>
      <c r="D115">
        <f>'Female Individual Rope Singles'!C64</f>
        <v>14</v>
      </c>
      <c r="E115">
        <f>'Female Individual Rope Singles'!D64</f>
        <v>0</v>
      </c>
    </row>
    <row r="116" spans="1:5" x14ac:dyDescent="0.25">
      <c r="A116">
        <f>'Team Info'!$B$3</f>
        <v>0</v>
      </c>
      <c r="B116">
        <f>'Female Individual Rope Singles'!A65</f>
        <v>5</v>
      </c>
      <c r="C116" t="str">
        <f>'Female Individual Rope Singles'!B65</f>
        <v>FSRx</v>
      </c>
      <c r="D116">
        <f>'Female Individual Rope Singles'!C65</f>
        <v>14</v>
      </c>
      <c r="E116">
        <f>'Female Individual Rope Singles'!D65</f>
        <v>0</v>
      </c>
    </row>
    <row r="117" spans="1:5" x14ac:dyDescent="0.25">
      <c r="A117">
        <f>'Team Info'!$B$3</f>
        <v>0</v>
      </c>
      <c r="B117">
        <f>'Female Individual Rope Singles'!A66</f>
        <v>6</v>
      </c>
      <c r="C117" t="str">
        <f>'Female Individual Rope Singles'!B66</f>
        <v>FSRx</v>
      </c>
      <c r="D117">
        <f>'Female Individual Rope Singles'!C66</f>
        <v>14</v>
      </c>
      <c r="E117">
        <f>'Female Individual Rope Singles'!D66</f>
        <v>0</v>
      </c>
    </row>
    <row r="118" spans="1:5" x14ac:dyDescent="0.25">
      <c r="A118">
        <f>'Team Info'!$B$3</f>
        <v>0</v>
      </c>
      <c r="B118">
        <f>'Female Individual Rope Singles'!A67</f>
        <v>7</v>
      </c>
      <c r="C118" t="str">
        <f>'Female Individual Rope Singles'!B67</f>
        <v>FSRx</v>
      </c>
      <c r="D118">
        <f>'Female Individual Rope Singles'!C67</f>
        <v>14</v>
      </c>
      <c r="E118">
        <f>'Female Individual Rope Singles'!D67</f>
        <v>0</v>
      </c>
    </row>
    <row r="119" spans="1:5" x14ac:dyDescent="0.25">
      <c r="A119">
        <f>'Team Info'!$B$3</f>
        <v>0</v>
      </c>
      <c r="B119">
        <f>'Female Individual Rope Singles'!A68</f>
        <v>8</v>
      </c>
      <c r="C119" t="str">
        <f>'Female Individual Rope Singles'!B68</f>
        <v>FSRx</v>
      </c>
      <c r="D119">
        <f>'Female Individual Rope Singles'!C68</f>
        <v>14</v>
      </c>
      <c r="E119">
        <f>'Female Individual Rope Singles'!D68</f>
        <v>0</v>
      </c>
    </row>
    <row r="120" spans="1:5" x14ac:dyDescent="0.25">
      <c r="A120">
        <f>'Team Info'!$B$3</f>
        <v>0</v>
      </c>
      <c r="B120">
        <f>'Female Individual Rope Singles'!A69</f>
        <v>9</v>
      </c>
      <c r="C120" t="str">
        <f>'Female Individual Rope Singles'!B69</f>
        <v>FSRx</v>
      </c>
      <c r="D120">
        <f>'Female Individual Rope Singles'!C69</f>
        <v>14</v>
      </c>
      <c r="E120">
        <f>'Female Individual Rope Singles'!D69</f>
        <v>0</v>
      </c>
    </row>
    <row r="121" spans="1:5" x14ac:dyDescent="0.25">
      <c r="A121">
        <f>'Team Info'!$B$3</f>
        <v>0</v>
      </c>
      <c r="B121">
        <f>'Female Individual Rope Singles'!A70</f>
        <v>10</v>
      </c>
      <c r="C121" t="str">
        <f>'Female Individual Rope Singles'!B70</f>
        <v>FSRx</v>
      </c>
      <c r="D121">
        <f>'Female Individual Rope Singles'!C70</f>
        <v>14</v>
      </c>
      <c r="E121">
        <f>'Female Individual Rope Singles'!D70</f>
        <v>0</v>
      </c>
    </row>
    <row r="122" spans="1:5" x14ac:dyDescent="0.25">
      <c r="A122">
        <f>'Team Info'!$B$3</f>
        <v>0</v>
      </c>
      <c r="B122">
        <f>'Female Individual Rope Singles'!A71</f>
        <v>11</v>
      </c>
      <c r="C122" t="str">
        <f>'Female Individual Rope Singles'!B71</f>
        <v>FSRx</v>
      </c>
      <c r="D122">
        <f>'Female Individual Rope Singles'!C71</f>
        <v>14</v>
      </c>
      <c r="E122">
        <f>'Female Individual Rope Singles'!D71</f>
        <v>0</v>
      </c>
    </row>
    <row r="123" spans="1:5" x14ac:dyDescent="0.25">
      <c r="A123">
        <f>'Team Info'!$B$3</f>
        <v>0</v>
      </c>
      <c r="B123">
        <f>'Female Individual Rope Singles'!A72</f>
        <v>12</v>
      </c>
      <c r="C123" t="str">
        <f>'Female Individual Rope Singles'!B72</f>
        <v>FSRx</v>
      </c>
      <c r="D123">
        <f>'Female Individual Rope Singles'!C72</f>
        <v>14</v>
      </c>
      <c r="E123">
        <f>'Female Individual Rope Singles'!D72</f>
        <v>0</v>
      </c>
    </row>
    <row r="124" spans="1:5" x14ac:dyDescent="0.25">
      <c r="A124">
        <f>'Team Info'!$B$3</f>
        <v>0</v>
      </c>
      <c r="B124">
        <f>'Female Individual Rope Singles'!A73</f>
        <v>13</v>
      </c>
      <c r="C124" t="str">
        <f>'Female Individual Rope Singles'!B73</f>
        <v>FSRx</v>
      </c>
      <c r="D124">
        <f>'Female Individual Rope Singles'!C73</f>
        <v>14</v>
      </c>
      <c r="E124">
        <f>'Female Individual Rope Singles'!D73</f>
        <v>0</v>
      </c>
    </row>
    <row r="125" spans="1:5" x14ac:dyDescent="0.25">
      <c r="A125">
        <f>'Team Info'!$B$3</f>
        <v>0</v>
      </c>
      <c r="B125">
        <f>'Female Individual Rope Singles'!A74</f>
        <v>14</v>
      </c>
      <c r="C125" t="str">
        <f>'Female Individual Rope Singles'!B74</f>
        <v>FSRx</v>
      </c>
      <c r="D125">
        <f>'Female Individual Rope Singles'!C74</f>
        <v>14</v>
      </c>
      <c r="E125">
        <f>'Female Individual Rope Singles'!D74</f>
        <v>0</v>
      </c>
    </row>
    <row r="126" spans="1:5" x14ac:dyDescent="0.25">
      <c r="A126">
        <f>'Team Info'!$B$3</f>
        <v>0</v>
      </c>
      <c r="B126">
        <f>'Female Individual Rope Singles'!A75</f>
        <v>15</v>
      </c>
      <c r="C126" t="str">
        <f>'Female Individual Rope Singles'!B75</f>
        <v>FSRx</v>
      </c>
      <c r="D126">
        <f>'Female Individual Rope Singles'!C75</f>
        <v>14</v>
      </c>
      <c r="E126">
        <f>'Female Individual Rope Singles'!D75</f>
        <v>0</v>
      </c>
    </row>
    <row r="127" spans="1:5" x14ac:dyDescent="0.25">
      <c r="A127">
        <f>'Team Info'!$B$3</f>
        <v>0</v>
      </c>
      <c r="B127">
        <f>'Female Individual Rope Singles'!A76</f>
        <v>16</v>
      </c>
      <c r="C127" t="str">
        <f>'Female Individual Rope Singles'!B76</f>
        <v>FSRx</v>
      </c>
      <c r="D127">
        <f>'Female Individual Rope Singles'!C76</f>
        <v>14</v>
      </c>
      <c r="E127">
        <f>'Female Individual Rope Singles'!D76</f>
        <v>0</v>
      </c>
    </row>
    <row r="128" spans="1:5" x14ac:dyDescent="0.25">
      <c r="A128">
        <f>'Team Info'!$B$3</f>
        <v>0</v>
      </c>
      <c r="B128">
        <f>'Female Individual Rope Singles'!A77</f>
        <v>17</v>
      </c>
      <c r="C128" t="str">
        <f>'Female Individual Rope Singles'!B77</f>
        <v>FSRx</v>
      </c>
      <c r="D128">
        <f>'Female Individual Rope Singles'!C77</f>
        <v>14</v>
      </c>
      <c r="E128">
        <f>'Female Individual Rope Singles'!D77</f>
        <v>0</v>
      </c>
    </row>
    <row r="129" spans="1:5" x14ac:dyDescent="0.25">
      <c r="A129">
        <f>'Team Info'!$B$3</f>
        <v>0</v>
      </c>
      <c r="B129">
        <f>'Female Individual Rope Singles'!A78</f>
        <v>18</v>
      </c>
      <c r="C129" t="str">
        <f>'Female Individual Rope Singles'!B78</f>
        <v>FSRx</v>
      </c>
      <c r="D129">
        <f>'Female Individual Rope Singles'!C78</f>
        <v>14</v>
      </c>
      <c r="E129">
        <f>'Female Individual Rope Singles'!D78</f>
        <v>0</v>
      </c>
    </row>
    <row r="130" spans="1:5" x14ac:dyDescent="0.25">
      <c r="A130">
        <f>'Team Info'!$B$3</f>
        <v>0</v>
      </c>
      <c r="B130">
        <f>'Female Individual Rope Singles'!A79</f>
        <v>19</v>
      </c>
      <c r="C130" t="str">
        <f>'Female Individual Rope Singles'!B79</f>
        <v>FSRx</v>
      </c>
      <c r="D130">
        <f>'Female Individual Rope Singles'!C79</f>
        <v>14</v>
      </c>
      <c r="E130">
        <f>'Female Individual Rope Singles'!D79</f>
        <v>0</v>
      </c>
    </row>
    <row r="131" spans="1:5" x14ac:dyDescent="0.25">
      <c r="A131">
        <f>'Team Info'!$B$3</f>
        <v>0</v>
      </c>
      <c r="B131">
        <f>'Female Individual Rope Singles'!A80</f>
        <v>20</v>
      </c>
      <c r="C131" t="str">
        <f>'Female Individual Rope Singles'!B80</f>
        <v>FSRx</v>
      </c>
      <c r="D131">
        <f>'Female Individual Rope Singles'!C80</f>
        <v>14</v>
      </c>
      <c r="E131">
        <f>'Female Individual Rope Singles'!D80</f>
        <v>0</v>
      </c>
    </row>
    <row r="132" spans="1:5" x14ac:dyDescent="0.25">
      <c r="A132">
        <f>'Team Info'!$B$3</f>
        <v>0</v>
      </c>
      <c r="B132">
        <f>'Female Individual Rope Singles'!A83</f>
        <v>1</v>
      </c>
      <c r="C132" t="str">
        <f>'Female Individual Rope Singles'!B83</f>
        <v>FSRx</v>
      </c>
      <c r="D132" t="str">
        <f>'Female Individual Rope Singles'!C83</f>
        <v>17-18</v>
      </c>
      <c r="E132">
        <f>'Female Individual Rope Singles'!D83</f>
        <v>0</v>
      </c>
    </row>
    <row r="133" spans="1:5" x14ac:dyDescent="0.25">
      <c r="A133">
        <f>'Team Info'!$B$3</f>
        <v>0</v>
      </c>
      <c r="B133">
        <f>'Female Individual Rope Singles'!A84</f>
        <v>2</v>
      </c>
      <c r="C133" t="str">
        <f>'Female Individual Rope Singles'!B84</f>
        <v>FSRx</v>
      </c>
      <c r="D133" t="str">
        <f>'Female Individual Rope Singles'!C84</f>
        <v>17-18</v>
      </c>
      <c r="E133">
        <f>'Female Individual Rope Singles'!D84</f>
        <v>0</v>
      </c>
    </row>
    <row r="134" spans="1:5" x14ac:dyDescent="0.25">
      <c r="A134">
        <f>'Team Info'!$B$3</f>
        <v>0</v>
      </c>
      <c r="B134">
        <f>'Female Individual Rope Singles'!A85</f>
        <v>3</v>
      </c>
      <c r="C134" t="str">
        <f>'Female Individual Rope Singles'!B85</f>
        <v>FSRx</v>
      </c>
      <c r="D134" t="str">
        <f>'Female Individual Rope Singles'!C85</f>
        <v>17-18</v>
      </c>
      <c r="E134">
        <f>'Female Individual Rope Singles'!D85</f>
        <v>0</v>
      </c>
    </row>
    <row r="135" spans="1:5" x14ac:dyDescent="0.25">
      <c r="A135">
        <f>'Team Info'!$B$3</f>
        <v>0</v>
      </c>
      <c r="B135">
        <f>'Female Individual Rope Singles'!A86</f>
        <v>4</v>
      </c>
      <c r="C135" t="str">
        <f>'Female Individual Rope Singles'!B86</f>
        <v>FSRx</v>
      </c>
      <c r="D135" t="str">
        <f>'Female Individual Rope Singles'!C86</f>
        <v>17-18</v>
      </c>
      <c r="E135">
        <f>'Female Individual Rope Singles'!D86</f>
        <v>0</v>
      </c>
    </row>
    <row r="136" spans="1:5" x14ac:dyDescent="0.25">
      <c r="A136">
        <f>'Team Info'!$B$3</f>
        <v>0</v>
      </c>
      <c r="B136">
        <f>'Female Individual Rope Singles'!A87</f>
        <v>5</v>
      </c>
      <c r="C136" t="str">
        <f>'Female Individual Rope Singles'!B87</f>
        <v>FSRx</v>
      </c>
      <c r="D136" t="str">
        <f>'Female Individual Rope Singles'!C87</f>
        <v>17-18</v>
      </c>
      <c r="E136">
        <f>'Female Individual Rope Singles'!D87</f>
        <v>0</v>
      </c>
    </row>
    <row r="137" spans="1:5" x14ac:dyDescent="0.25">
      <c r="A137">
        <f>'Team Info'!$B$3</f>
        <v>0</v>
      </c>
      <c r="B137">
        <f>'Female Individual Rope Singles'!A88</f>
        <v>6</v>
      </c>
      <c r="C137" t="str">
        <f>'Female Individual Rope Singles'!B88</f>
        <v>FSRx</v>
      </c>
      <c r="D137" t="str">
        <f>'Female Individual Rope Singles'!C88</f>
        <v>17-18</v>
      </c>
      <c r="E137">
        <f>'Female Individual Rope Singles'!D88</f>
        <v>0</v>
      </c>
    </row>
    <row r="138" spans="1:5" x14ac:dyDescent="0.25">
      <c r="A138">
        <f>'Team Info'!$B$3</f>
        <v>0</v>
      </c>
      <c r="B138">
        <f>'Female Individual Rope Singles'!A89</f>
        <v>7</v>
      </c>
      <c r="C138" t="str">
        <f>'Female Individual Rope Singles'!B89</f>
        <v>FSRx</v>
      </c>
      <c r="D138" t="str">
        <f>'Female Individual Rope Singles'!C89</f>
        <v>17-18</v>
      </c>
      <c r="E138">
        <f>'Female Individual Rope Singles'!D89</f>
        <v>0</v>
      </c>
    </row>
    <row r="139" spans="1:5" x14ac:dyDescent="0.25">
      <c r="A139">
        <f>'Team Info'!$B$3</f>
        <v>0</v>
      </c>
      <c r="B139">
        <f>'Female Individual Rope Singles'!A90</f>
        <v>8</v>
      </c>
      <c r="C139" t="str">
        <f>'Female Individual Rope Singles'!B90</f>
        <v>FSRx</v>
      </c>
      <c r="D139" t="str">
        <f>'Female Individual Rope Singles'!C90</f>
        <v>17-18</v>
      </c>
      <c r="E139">
        <f>'Female Individual Rope Singles'!D90</f>
        <v>0</v>
      </c>
    </row>
    <row r="140" spans="1:5" x14ac:dyDescent="0.25">
      <c r="A140">
        <f>'Team Info'!$B$3</f>
        <v>0</v>
      </c>
      <c r="B140">
        <f>'Female Individual Rope Singles'!A91</f>
        <v>9</v>
      </c>
      <c r="C140" t="str">
        <f>'Female Individual Rope Singles'!B91</f>
        <v>FSRx</v>
      </c>
      <c r="D140" t="str">
        <f>'Female Individual Rope Singles'!C91</f>
        <v>17-18</v>
      </c>
      <c r="E140">
        <f>'Female Individual Rope Singles'!D91</f>
        <v>0</v>
      </c>
    </row>
    <row r="141" spans="1:5" x14ac:dyDescent="0.25">
      <c r="A141">
        <f>'Team Info'!$B$3</f>
        <v>0</v>
      </c>
      <c r="B141">
        <f>'Female Individual Rope Singles'!A92</f>
        <v>10</v>
      </c>
      <c r="C141" t="str">
        <f>'Female Individual Rope Singles'!B92</f>
        <v>FSRx</v>
      </c>
      <c r="D141" t="str">
        <f>'Female Individual Rope Singles'!C92</f>
        <v>17-18</v>
      </c>
      <c r="E141">
        <f>'Female Individual Rope Singles'!D92</f>
        <v>0</v>
      </c>
    </row>
    <row r="142" spans="1:5" x14ac:dyDescent="0.25">
      <c r="A142">
        <f>'Team Info'!$B$3</f>
        <v>0</v>
      </c>
      <c r="B142">
        <f>'Female Individual Rope Singles'!A93</f>
        <v>11</v>
      </c>
      <c r="C142" t="str">
        <f>'Female Individual Rope Singles'!B93</f>
        <v>FSRx</v>
      </c>
      <c r="D142" t="str">
        <f>'Female Individual Rope Singles'!C93</f>
        <v>17-18</v>
      </c>
      <c r="E142">
        <f>'Female Individual Rope Singles'!D93</f>
        <v>0</v>
      </c>
    </row>
    <row r="143" spans="1:5" x14ac:dyDescent="0.25">
      <c r="A143">
        <f>'Team Info'!$B$3</f>
        <v>0</v>
      </c>
      <c r="B143">
        <f>'Female Individual Rope Singles'!A94</f>
        <v>12</v>
      </c>
      <c r="C143" t="str">
        <f>'Female Individual Rope Singles'!B94</f>
        <v>FSRx</v>
      </c>
      <c r="D143" t="str">
        <f>'Female Individual Rope Singles'!C94</f>
        <v>17-18</v>
      </c>
      <c r="E143">
        <f>'Female Individual Rope Singles'!D94</f>
        <v>0</v>
      </c>
    </row>
    <row r="144" spans="1:5" x14ac:dyDescent="0.25">
      <c r="A144">
        <f>'Team Info'!$B$3</f>
        <v>0</v>
      </c>
      <c r="B144">
        <f>'Female Individual Rope Singles'!A95</f>
        <v>13</v>
      </c>
      <c r="C144" t="str">
        <f>'Female Individual Rope Singles'!B95</f>
        <v>FSRx</v>
      </c>
      <c r="D144" t="str">
        <f>'Female Individual Rope Singles'!C95</f>
        <v>17-18</v>
      </c>
      <c r="E144">
        <f>'Female Individual Rope Singles'!D95</f>
        <v>0</v>
      </c>
    </row>
    <row r="145" spans="1:5" x14ac:dyDescent="0.25">
      <c r="A145">
        <f>'Team Info'!$B$3</f>
        <v>0</v>
      </c>
      <c r="B145">
        <f>'Female Individual Rope Singles'!A96</f>
        <v>14</v>
      </c>
      <c r="C145" t="str">
        <f>'Female Individual Rope Singles'!B96</f>
        <v>FSRx</v>
      </c>
      <c r="D145" t="str">
        <f>'Female Individual Rope Singles'!C96</f>
        <v>17-18</v>
      </c>
      <c r="E145">
        <f>'Female Individual Rope Singles'!D96</f>
        <v>0</v>
      </c>
    </row>
    <row r="146" spans="1:5" x14ac:dyDescent="0.25">
      <c r="A146">
        <f>'Team Info'!$B$3</f>
        <v>0</v>
      </c>
      <c r="B146">
        <f>'Female Individual Rope Singles'!A97</f>
        <v>15</v>
      </c>
      <c r="C146" t="str">
        <f>'Female Individual Rope Singles'!B97</f>
        <v>FSRx</v>
      </c>
      <c r="D146" t="str">
        <f>'Female Individual Rope Singles'!C97</f>
        <v>17-18</v>
      </c>
      <c r="E146">
        <f>'Female Individual Rope Singles'!D97</f>
        <v>0</v>
      </c>
    </row>
    <row r="147" spans="1:5" x14ac:dyDescent="0.25">
      <c r="A147">
        <f>'Team Info'!$B$3</f>
        <v>0</v>
      </c>
      <c r="B147">
        <f>'Female Individual Rope Singles'!A98</f>
        <v>16</v>
      </c>
      <c r="C147" t="str">
        <f>'Female Individual Rope Singles'!B98</f>
        <v>FSRx</v>
      </c>
      <c r="D147" t="str">
        <f>'Female Individual Rope Singles'!C98</f>
        <v>17-18</v>
      </c>
      <c r="E147">
        <f>'Female Individual Rope Singles'!D98</f>
        <v>0</v>
      </c>
    </row>
    <row r="148" spans="1:5" x14ac:dyDescent="0.25">
      <c r="A148">
        <f>'Team Info'!$B$3</f>
        <v>0</v>
      </c>
      <c r="B148">
        <f>'Female Individual Rope Singles'!A99</f>
        <v>17</v>
      </c>
      <c r="C148" t="str">
        <f>'Female Individual Rope Singles'!B99</f>
        <v>FSRx</v>
      </c>
      <c r="D148" t="str">
        <f>'Female Individual Rope Singles'!C99</f>
        <v>17-18</v>
      </c>
      <c r="E148">
        <f>'Female Individual Rope Singles'!D99</f>
        <v>0</v>
      </c>
    </row>
    <row r="149" spans="1:5" x14ac:dyDescent="0.25">
      <c r="A149">
        <f>'Team Info'!$B$3</f>
        <v>0</v>
      </c>
      <c r="B149">
        <f>'Female Individual Rope Singles'!A100</f>
        <v>18</v>
      </c>
      <c r="C149" t="str">
        <f>'Female Individual Rope Singles'!B100</f>
        <v>FSRx</v>
      </c>
      <c r="D149" t="str">
        <f>'Female Individual Rope Singles'!C100</f>
        <v>17-18</v>
      </c>
      <c r="E149">
        <f>'Female Individual Rope Singles'!D100</f>
        <v>0</v>
      </c>
    </row>
    <row r="150" spans="1:5" x14ac:dyDescent="0.25">
      <c r="A150">
        <f>'Team Info'!$B$3</f>
        <v>0</v>
      </c>
      <c r="B150">
        <f>'Female Individual Rope Singles'!A101</f>
        <v>19</v>
      </c>
      <c r="C150" t="str">
        <f>'Female Individual Rope Singles'!B101</f>
        <v>FSRx</v>
      </c>
      <c r="D150" t="str">
        <f>'Female Individual Rope Singles'!C101</f>
        <v>17-18</v>
      </c>
      <c r="E150">
        <f>'Female Individual Rope Singles'!D101</f>
        <v>0</v>
      </c>
    </row>
    <row r="151" spans="1:5" x14ac:dyDescent="0.25">
      <c r="A151">
        <f>'Team Info'!$B$3</f>
        <v>0</v>
      </c>
      <c r="B151">
        <f>'Female Individual Rope Singles'!A102</f>
        <v>20</v>
      </c>
      <c r="C151" t="str">
        <f>'Female Individual Rope Singles'!B102</f>
        <v>FSRx</v>
      </c>
      <c r="D151" t="str">
        <f>'Female Individual Rope Singles'!C102</f>
        <v>17-18</v>
      </c>
      <c r="E151">
        <f>'Female Individual Rope Singles'!D102</f>
        <v>0</v>
      </c>
    </row>
    <row r="152" spans="1:5" x14ac:dyDescent="0.25">
      <c r="A152">
        <f>'Team Info'!$B$3</f>
        <v>0</v>
      </c>
      <c r="B152">
        <f>'Female Individual Rope Singles'!H5</f>
        <v>1</v>
      </c>
      <c r="C152" t="str">
        <f>'Female Individual Rope Singles'!I5</f>
        <v>FSRx</v>
      </c>
      <c r="D152">
        <f>'Female Individual Rope Singles'!J5</f>
        <v>9</v>
      </c>
      <c r="E152">
        <f>'Female Individual Rope Singles'!K5</f>
        <v>0</v>
      </c>
    </row>
    <row r="153" spans="1:5" x14ac:dyDescent="0.25">
      <c r="A153">
        <f>'Team Info'!$B$3</f>
        <v>0</v>
      </c>
      <c r="B153">
        <f>'Female Individual Rope Singles'!H6</f>
        <v>2</v>
      </c>
      <c r="C153" t="str">
        <f>'Female Individual Rope Singles'!I6</f>
        <v>FSRx</v>
      </c>
      <c r="D153">
        <f>'Female Individual Rope Singles'!J6</f>
        <v>9</v>
      </c>
      <c r="E153">
        <f>'Female Individual Rope Singles'!K6</f>
        <v>0</v>
      </c>
    </row>
    <row r="154" spans="1:5" x14ac:dyDescent="0.25">
      <c r="A154">
        <f>'Team Info'!$B$3</f>
        <v>0</v>
      </c>
      <c r="B154">
        <f>'Female Individual Rope Singles'!H7</f>
        <v>3</v>
      </c>
      <c r="C154" t="str">
        <f>'Female Individual Rope Singles'!I7</f>
        <v>FSRx</v>
      </c>
      <c r="D154">
        <f>'Female Individual Rope Singles'!J7</f>
        <v>9</v>
      </c>
      <c r="E154">
        <f>'Female Individual Rope Singles'!K7</f>
        <v>0</v>
      </c>
    </row>
    <row r="155" spans="1:5" x14ac:dyDescent="0.25">
      <c r="A155">
        <f>'Team Info'!$B$3</f>
        <v>0</v>
      </c>
      <c r="B155">
        <f>'Female Individual Rope Singles'!H8</f>
        <v>4</v>
      </c>
      <c r="C155" t="str">
        <f>'Female Individual Rope Singles'!I8</f>
        <v>FSRx</v>
      </c>
      <c r="D155">
        <f>'Female Individual Rope Singles'!J8</f>
        <v>9</v>
      </c>
      <c r="E155">
        <f>'Female Individual Rope Singles'!K8</f>
        <v>0</v>
      </c>
    </row>
    <row r="156" spans="1:5" x14ac:dyDescent="0.25">
      <c r="A156">
        <f>'Team Info'!$B$3</f>
        <v>0</v>
      </c>
      <c r="B156">
        <f>'Female Individual Rope Singles'!H9</f>
        <v>5</v>
      </c>
      <c r="C156" t="str">
        <f>'Female Individual Rope Singles'!I9</f>
        <v>FSRx</v>
      </c>
      <c r="D156">
        <f>'Female Individual Rope Singles'!J9</f>
        <v>9</v>
      </c>
      <c r="E156">
        <f>'Female Individual Rope Singles'!K9</f>
        <v>0</v>
      </c>
    </row>
    <row r="157" spans="1:5" x14ac:dyDescent="0.25">
      <c r="A157">
        <f>'Team Info'!$B$3</f>
        <v>0</v>
      </c>
      <c r="B157">
        <f>'Female Individual Rope Singles'!H10</f>
        <v>6</v>
      </c>
      <c r="C157" t="str">
        <f>'Female Individual Rope Singles'!I10</f>
        <v>FSRx</v>
      </c>
      <c r="D157">
        <f>'Female Individual Rope Singles'!J10</f>
        <v>9</v>
      </c>
      <c r="E157">
        <f>'Female Individual Rope Singles'!K10</f>
        <v>0</v>
      </c>
    </row>
    <row r="158" spans="1:5" x14ac:dyDescent="0.25">
      <c r="A158">
        <f>'Team Info'!$B$3</f>
        <v>0</v>
      </c>
      <c r="B158">
        <f>'Female Individual Rope Singles'!H11</f>
        <v>7</v>
      </c>
      <c r="C158" t="str">
        <f>'Female Individual Rope Singles'!I11</f>
        <v>FSRx</v>
      </c>
      <c r="D158">
        <f>'Female Individual Rope Singles'!J11</f>
        <v>9</v>
      </c>
      <c r="E158">
        <f>'Female Individual Rope Singles'!K11</f>
        <v>0</v>
      </c>
    </row>
    <row r="159" spans="1:5" x14ac:dyDescent="0.25">
      <c r="A159">
        <f>'Team Info'!$B$3</f>
        <v>0</v>
      </c>
      <c r="B159">
        <f>'Female Individual Rope Singles'!H12</f>
        <v>8</v>
      </c>
      <c r="C159" t="str">
        <f>'Female Individual Rope Singles'!I12</f>
        <v>FSRx</v>
      </c>
      <c r="D159">
        <f>'Female Individual Rope Singles'!J12</f>
        <v>9</v>
      </c>
      <c r="E159">
        <f>'Female Individual Rope Singles'!K12</f>
        <v>0</v>
      </c>
    </row>
    <row r="160" spans="1:5" x14ac:dyDescent="0.25">
      <c r="A160">
        <f>'Team Info'!$B$3</f>
        <v>0</v>
      </c>
      <c r="B160">
        <f>'Female Individual Rope Singles'!H13</f>
        <v>9</v>
      </c>
      <c r="C160" t="str">
        <f>'Female Individual Rope Singles'!I13</f>
        <v>FSRx</v>
      </c>
      <c r="D160">
        <f>'Female Individual Rope Singles'!J13</f>
        <v>9</v>
      </c>
      <c r="E160">
        <f>'Female Individual Rope Singles'!K13</f>
        <v>0</v>
      </c>
    </row>
    <row r="161" spans="1:5" x14ac:dyDescent="0.25">
      <c r="A161">
        <f>'Team Info'!$B$3</f>
        <v>0</v>
      </c>
      <c r="B161">
        <f>'Female Individual Rope Singles'!H14</f>
        <v>10</v>
      </c>
      <c r="C161" t="str">
        <f>'Female Individual Rope Singles'!I14</f>
        <v>FSRx</v>
      </c>
      <c r="D161">
        <f>'Female Individual Rope Singles'!J14</f>
        <v>9</v>
      </c>
      <c r="E161">
        <f>'Female Individual Rope Singles'!K14</f>
        <v>0</v>
      </c>
    </row>
    <row r="162" spans="1:5" x14ac:dyDescent="0.25">
      <c r="A162">
        <f>'Team Info'!$B$3</f>
        <v>0</v>
      </c>
      <c r="B162">
        <f>'Female Individual Rope Singles'!H17</f>
        <v>1</v>
      </c>
      <c r="C162" t="str">
        <f>'Female Individual Rope Singles'!I17</f>
        <v>FSRx</v>
      </c>
      <c r="D162">
        <f>'Female Individual Rope Singles'!J17</f>
        <v>11</v>
      </c>
      <c r="E162">
        <f>'Female Individual Rope Singles'!K17</f>
        <v>0</v>
      </c>
    </row>
    <row r="163" spans="1:5" x14ac:dyDescent="0.25">
      <c r="A163">
        <f>'Team Info'!$B$3</f>
        <v>0</v>
      </c>
      <c r="B163">
        <f>'Female Individual Rope Singles'!H18</f>
        <v>2</v>
      </c>
      <c r="C163" t="str">
        <f>'Female Individual Rope Singles'!I18</f>
        <v>FSRx</v>
      </c>
      <c r="D163">
        <f>'Female Individual Rope Singles'!J18</f>
        <v>11</v>
      </c>
      <c r="E163">
        <f>'Female Individual Rope Singles'!K18</f>
        <v>0</v>
      </c>
    </row>
    <row r="164" spans="1:5" x14ac:dyDescent="0.25">
      <c r="A164">
        <f>'Team Info'!$B$3</f>
        <v>0</v>
      </c>
      <c r="B164">
        <f>'Female Individual Rope Singles'!H19</f>
        <v>3</v>
      </c>
      <c r="C164" t="str">
        <f>'Female Individual Rope Singles'!I19</f>
        <v>FSRx</v>
      </c>
      <c r="D164">
        <f>'Female Individual Rope Singles'!J19</f>
        <v>11</v>
      </c>
      <c r="E164">
        <f>'Female Individual Rope Singles'!K19</f>
        <v>0</v>
      </c>
    </row>
    <row r="165" spans="1:5" x14ac:dyDescent="0.25">
      <c r="A165">
        <f>'Team Info'!$B$3</f>
        <v>0</v>
      </c>
      <c r="B165">
        <f>'Female Individual Rope Singles'!H20</f>
        <v>4</v>
      </c>
      <c r="C165" t="str">
        <f>'Female Individual Rope Singles'!I20</f>
        <v>FSRx</v>
      </c>
      <c r="D165">
        <f>'Female Individual Rope Singles'!J20</f>
        <v>11</v>
      </c>
      <c r="E165">
        <f>'Female Individual Rope Singles'!K20</f>
        <v>0</v>
      </c>
    </row>
    <row r="166" spans="1:5" x14ac:dyDescent="0.25">
      <c r="A166">
        <f>'Team Info'!$B$3</f>
        <v>0</v>
      </c>
      <c r="B166">
        <f>'Female Individual Rope Singles'!H21</f>
        <v>5</v>
      </c>
      <c r="C166" t="str">
        <f>'Female Individual Rope Singles'!I21</f>
        <v>FSRx</v>
      </c>
      <c r="D166">
        <f>'Female Individual Rope Singles'!J21</f>
        <v>11</v>
      </c>
      <c r="E166">
        <f>'Female Individual Rope Singles'!K21</f>
        <v>0</v>
      </c>
    </row>
    <row r="167" spans="1:5" x14ac:dyDescent="0.25">
      <c r="A167">
        <f>'Team Info'!$B$3</f>
        <v>0</v>
      </c>
      <c r="B167">
        <f>'Female Individual Rope Singles'!H22</f>
        <v>6</v>
      </c>
      <c r="C167" t="str">
        <f>'Female Individual Rope Singles'!I22</f>
        <v>FSRx</v>
      </c>
      <c r="D167">
        <f>'Female Individual Rope Singles'!J22</f>
        <v>11</v>
      </c>
      <c r="E167">
        <f>'Female Individual Rope Singles'!K22</f>
        <v>0</v>
      </c>
    </row>
    <row r="168" spans="1:5" x14ac:dyDescent="0.25">
      <c r="A168">
        <f>'Team Info'!$B$3</f>
        <v>0</v>
      </c>
      <c r="B168">
        <f>'Female Individual Rope Singles'!H23</f>
        <v>7</v>
      </c>
      <c r="C168" t="str">
        <f>'Female Individual Rope Singles'!I23</f>
        <v>FSRx</v>
      </c>
      <c r="D168">
        <f>'Female Individual Rope Singles'!J23</f>
        <v>11</v>
      </c>
      <c r="E168">
        <f>'Female Individual Rope Singles'!K23</f>
        <v>0</v>
      </c>
    </row>
    <row r="169" spans="1:5" x14ac:dyDescent="0.25">
      <c r="A169">
        <f>'Team Info'!$B$3</f>
        <v>0</v>
      </c>
      <c r="B169">
        <f>'Female Individual Rope Singles'!H24</f>
        <v>8</v>
      </c>
      <c r="C169" t="str">
        <f>'Female Individual Rope Singles'!I24</f>
        <v>FSRx</v>
      </c>
      <c r="D169">
        <f>'Female Individual Rope Singles'!J24</f>
        <v>11</v>
      </c>
      <c r="E169">
        <f>'Female Individual Rope Singles'!K24</f>
        <v>0</v>
      </c>
    </row>
    <row r="170" spans="1:5" x14ac:dyDescent="0.25">
      <c r="A170">
        <f>'Team Info'!$B$3</f>
        <v>0</v>
      </c>
      <c r="B170">
        <f>'Female Individual Rope Singles'!H25</f>
        <v>9</v>
      </c>
      <c r="C170" t="str">
        <f>'Female Individual Rope Singles'!I25</f>
        <v>FSRx</v>
      </c>
      <c r="D170">
        <f>'Female Individual Rope Singles'!J25</f>
        <v>11</v>
      </c>
      <c r="E170">
        <f>'Female Individual Rope Singles'!K25</f>
        <v>0</v>
      </c>
    </row>
    <row r="171" spans="1:5" x14ac:dyDescent="0.25">
      <c r="A171">
        <f>'Team Info'!$B$3</f>
        <v>0</v>
      </c>
      <c r="B171">
        <f>'Female Individual Rope Singles'!H26</f>
        <v>10</v>
      </c>
      <c r="C171" t="str">
        <f>'Female Individual Rope Singles'!I26</f>
        <v>FSRx</v>
      </c>
      <c r="D171">
        <f>'Female Individual Rope Singles'!J26</f>
        <v>11</v>
      </c>
      <c r="E171">
        <f>'Female Individual Rope Singles'!K26</f>
        <v>0</v>
      </c>
    </row>
    <row r="172" spans="1:5" x14ac:dyDescent="0.25">
      <c r="A172">
        <f>'Team Info'!$B$3</f>
        <v>0</v>
      </c>
      <c r="B172">
        <f>'Female Individual Rope Singles'!H27</f>
        <v>11</v>
      </c>
      <c r="C172" t="str">
        <f>'Female Individual Rope Singles'!I27</f>
        <v>FSRx</v>
      </c>
      <c r="D172">
        <f>'Female Individual Rope Singles'!J27</f>
        <v>11</v>
      </c>
      <c r="E172">
        <f>'Female Individual Rope Singles'!K27</f>
        <v>0</v>
      </c>
    </row>
    <row r="173" spans="1:5" x14ac:dyDescent="0.25">
      <c r="A173">
        <f>'Team Info'!$B$3</f>
        <v>0</v>
      </c>
      <c r="B173">
        <f>'Female Individual Rope Singles'!H28</f>
        <v>12</v>
      </c>
      <c r="C173" t="str">
        <f>'Female Individual Rope Singles'!I28</f>
        <v>FSRx</v>
      </c>
      <c r="D173">
        <f>'Female Individual Rope Singles'!J28</f>
        <v>11</v>
      </c>
      <c r="E173">
        <f>'Female Individual Rope Singles'!K28</f>
        <v>0</v>
      </c>
    </row>
    <row r="174" spans="1:5" x14ac:dyDescent="0.25">
      <c r="A174">
        <f>'Team Info'!$B$3</f>
        <v>0</v>
      </c>
      <c r="B174">
        <f>'Female Individual Rope Singles'!H29</f>
        <v>13</v>
      </c>
      <c r="C174" t="str">
        <f>'Female Individual Rope Singles'!I29</f>
        <v>FSRx</v>
      </c>
      <c r="D174">
        <f>'Female Individual Rope Singles'!J29</f>
        <v>11</v>
      </c>
      <c r="E174">
        <f>'Female Individual Rope Singles'!K29</f>
        <v>0</v>
      </c>
    </row>
    <row r="175" spans="1:5" x14ac:dyDescent="0.25">
      <c r="A175">
        <f>'Team Info'!$B$3</f>
        <v>0</v>
      </c>
      <c r="B175">
        <f>'Female Individual Rope Singles'!H30</f>
        <v>14</v>
      </c>
      <c r="C175" t="str">
        <f>'Female Individual Rope Singles'!I30</f>
        <v>FSRx</v>
      </c>
      <c r="D175">
        <f>'Female Individual Rope Singles'!J30</f>
        <v>11</v>
      </c>
      <c r="E175">
        <f>'Female Individual Rope Singles'!K30</f>
        <v>0</v>
      </c>
    </row>
    <row r="176" spans="1:5" x14ac:dyDescent="0.25">
      <c r="A176">
        <f>'Team Info'!$B$3</f>
        <v>0</v>
      </c>
      <c r="B176">
        <f>'Female Individual Rope Singles'!H31</f>
        <v>15</v>
      </c>
      <c r="C176" t="str">
        <f>'Female Individual Rope Singles'!I31</f>
        <v>FSRx</v>
      </c>
      <c r="D176">
        <f>'Female Individual Rope Singles'!J31</f>
        <v>11</v>
      </c>
      <c r="E176">
        <f>'Female Individual Rope Singles'!K31</f>
        <v>0</v>
      </c>
    </row>
    <row r="177" spans="1:5" x14ac:dyDescent="0.25">
      <c r="A177">
        <f>'Team Info'!$B$3</f>
        <v>0</v>
      </c>
      <c r="B177">
        <f>'Female Individual Rope Singles'!H32</f>
        <v>16</v>
      </c>
      <c r="C177" t="str">
        <f>'Female Individual Rope Singles'!I32</f>
        <v>FSRx</v>
      </c>
      <c r="D177">
        <f>'Female Individual Rope Singles'!J32</f>
        <v>11</v>
      </c>
      <c r="E177">
        <f>'Female Individual Rope Singles'!K32</f>
        <v>0</v>
      </c>
    </row>
    <row r="178" spans="1:5" x14ac:dyDescent="0.25">
      <c r="A178">
        <f>'Team Info'!$B$3</f>
        <v>0</v>
      </c>
      <c r="B178">
        <f>'Female Individual Rope Singles'!H33</f>
        <v>17</v>
      </c>
      <c r="C178" t="str">
        <f>'Female Individual Rope Singles'!I33</f>
        <v>FSRx</v>
      </c>
      <c r="D178">
        <f>'Female Individual Rope Singles'!J33</f>
        <v>11</v>
      </c>
      <c r="E178">
        <f>'Female Individual Rope Singles'!K33</f>
        <v>0</v>
      </c>
    </row>
    <row r="179" spans="1:5" x14ac:dyDescent="0.25">
      <c r="A179">
        <f>'Team Info'!$B$3</f>
        <v>0</v>
      </c>
      <c r="B179">
        <f>'Female Individual Rope Singles'!H34</f>
        <v>18</v>
      </c>
      <c r="C179" t="str">
        <f>'Female Individual Rope Singles'!I34</f>
        <v>FSRx</v>
      </c>
      <c r="D179">
        <f>'Female Individual Rope Singles'!J34</f>
        <v>11</v>
      </c>
      <c r="E179">
        <f>'Female Individual Rope Singles'!K34</f>
        <v>0</v>
      </c>
    </row>
    <row r="180" spans="1:5" x14ac:dyDescent="0.25">
      <c r="A180">
        <f>'Team Info'!$B$3</f>
        <v>0</v>
      </c>
      <c r="B180">
        <f>'Female Individual Rope Singles'!H35</f>
        <v>19</v>
      </c>
      <c r="C180" t="str">
        <f>'Female Individual Rope Singles'!I35</f>
        <v>FSRx</v>
      </c>
      <c r="D180">
        <f>'Female Individual Rope Singles'!J35</f>
        <v>11</v>
      </c>
      <c r="E180">
        <f>'Female Individual Rope Singles'!K35</f>
        <v>0</v>
      </c>
    </row>
    <row r="181" spans="1:5" x14ac:dyDescent="0.25">
      <c r="A181">
        <f>'Team Info'!$B$3</f>
        <v>0</v>
      </c>
      <c r="B181">
        <f>'Female Individual Rope Singles'!H36</f>
        <v>20</v>
      </c>
      <c r="C181" t="str">
        <f>'Female Individual Rope Singles'!I36</f>
        <v>FSRx</v>
      </c>
      <c r="D181">
        <f>'Female Individual Rope Singles'!J36</f>
        <v>11</v>
      </c>
      <c r="E181">
        <f>'Female Individual Rope Singles'!K36</f>
        <v>0</v>
      </c>
    </row>
    <row r="182" spans="1:5" x14ac:dyDescent="0.25">
      <c r="A182">
        <f>'Team Info'!$B$3</f>
        <v>0</v>
      </c>
      <c r="B182">
        <f>'Female Individual Rope Singles'!H39</f>
        <v>1</v>
      </c>
      <c r="C182" t="str">
        <f>'Female Individual Rope Singles'!I39</f>
        <v>FSRx</v>
      </c>
      <c r="D182">
        <f>'Female Individual Rope Singles'!J39</f>
        <v>13</v>
      </c>
      <c r="E182">
        <f>'Female Individual Rope Singles'!K39</f>
        <v>0</v>
      </c>
    </row>
    <row r="183" spans="1:5" x14ac:dyDescent="0.25">
      <c r="A183">
        <f>'Team Info'!$B$3</f>
        <v>0</v>
      </c>
      <c r="B183">
        <f>'Female Individual Rope Singles'!H40</f>
        <v>2</v>
      </c>
      <c r="C183" t="str">
        <f>'Female Individual Rope Singles'!I40</f>
        <v>FSRx</v>
      </c>
      <c r="D183">
        <f>'Female Individual Rope Singles'!J40</f>
        <v>13</v>
      </c>
      <c r="E183">
        <f>'Female Individual Rope Singles'!K40</f>
        <v>0</v>
      </c>
    </row>
    <row r="184" spans="1:5" x14ac:dyDescent="0.25">
      <c r="A184">
        <f>'Team Info'!$B$3</f>
        <v>0</v>
      </c>
      <c r="B184">
        <f>'Female Individual Rope Singles'!H41</f>
        <v>3</v>
      </c>
      <c r="C184" t="str">
        <f>'Female Individual Rope Singles'!I41</f>
        <v>FSRx</v>
      </c>
      <c r="D184">
        <f>'Female Individual Rope Singles'!J41</f>
        <v>13</v>
      </c>
      <c r="E184">
        <f>'Female Individual Rope Singles'!K41</f>
        <v>0</v>
      </c>
    </row>
    <row r="185" spans="1:5" x14ac:dyDescent="0.25">
      <c r="A185">
        <f>'Team Info'!$B$3</f>
        <v>0</v>
      </c>
      <c r="B185">
        <f>'Female Individual Rope Singles'!H42</f>
        <v>4</v>
      </c>
      <c r="C185" t="str">
        <f>'Female Individual Rope Singles'!I42</f>
        <v>FSRx</v>
      </c>
      <c r="D185">
        <f>'Female Individual Rope Singles'!J42</f>
        <v>13</v>
      </c>
      <c r="E185">
        <f>'Female Individual Rope Singles'!K42</f>
        <v>0</v>
      </c>
    </row>
    <row r="186" spans="1:5" x14ac:dyDescent="0.25">
      <c r="A186">
        <f>'Team Info'!$B$3</f>
        <v>0</v>
      </c>
      <c r="B186">
        <f>'Female Individual Rope Singles'!H43</f>
        <v>5</v>
      </c>
      <c r="C186" t="str">
        <f>'Female Individual Rope Singles'!I43</f>
        <v>FSRx</v>
      </c>
      <c r="D186">
        <f>'Female Individual Rope Singles'!J43</f>
        <v>13</v>
      </c>
      <c r="E186">
        <f>'Female Individual Rope Singles'!K43</f>
        <v>0</v>
      </c>
    </row>
    <row r="187" spans="1:5" x14ac:dyDescent="0.25">
      <c r="A187">
        <f>'Team Info'!$B$3</f>
        <v>0</v>
      </c>
      <c r="B187">
        <f>'Female Individual Rope Singles'!H44</f>
        <v>6</v>
      </c>
      <c r="C187" t="str">
        <f>'Female Individual Rope Singles'!I44</f>
        <v>FSRx</v>
      </c>
      <c r="D187">
        <f>'Female Individual Rope Singles'!J44</f>
        <v>13</v>
      </c>
      <c r="E187">
        <f>'Female Individual Rope Singles'!K44</f>
        <v>0</v>
      </c>
    </row>
    <row r="188" spans="1:5" x14ac:dyDescent="0.25">
      <c r="A188">
        <f>'Team Info'!$B$3</f>
        <v>0</v>
      </c>
      <c r="B188">
        <f>'Female Individual Rope Singles'!H45</f>
        <v>7</v>
      </c>
      <c r="C188" t="str">
        <f>'Female Individual Rope Singles'!I45</f>
        <v>FSRx</v>
      </c>
      <c r="D188">
        <f>'Female Individual Rope Singles'!J45</f>
        <v>13</v>
      </c>
      <c r="E188">
        <f>'Female Individual Rope Singles'!K45</f>
        <v>0</v>
      </c>
    </row>
    <row r="189" spans="1:5" x14ac:dyDescent="0.25">
      <c r="A189">
        <f>'Team Info'!$B$3</f>
        <v>0</v>
      </c>
      <c r="B189">
        <f>'Female Individual Rope Singles'!H46</f>
        <v>8</v>
      </c>
      <c r="C189" t="str">
        <f>'Female Individual Rope Singles'!I46</f>
        <v>FSRx</v>
      </c>
      <c r="D189">
        <f>'Female Individual Rope Singles'!J46</f>
        <v>13</v>
      </c>
      <c r="E189">
        <f>'Female Individual Rope Singles'!K46</f>
        <v>0</v>
      </c>
    </row>
    <row r="190" spans="1:5" x14ac:dyDescent="0.25">
      <c r="A190">
        <f>'Team Info'!$B$3</f>
        <v>0</v>
      </c>
      <c r="B190">
        <f>'Female Individual Rope Singles'!H47</f>
        <v>9</v>
      </c>
      <c r="C190" t="str">
        <f>'Female Individual Rope Singles'!I47</f>
        <v>FSRx</v>
      </c>
      <c r="D190">
        <f>'Female Individual Rope Singles'!J47</f>
        <v>13</v>
      </c>
      <c r="E190">
        <f>'Female Individual Rope Singles'!K47</f>
        <v>0</v>
      </c>
    </row>
    <row r="191" spans="1:5" x14ac:dyDescent="0.25">
      <c r="A191">
        <f>'Team Info'!$B$3</f>
        <v>0</v>
      </c>
      <c r="B191">
        <f>'Female Individual Rope Singles'!H48</f>
        <v>10</v>
      </c>
      <c r="C191" t="str">
        <f>'Female Individual Rope Singles'!I48</f>
        <v>FSRx</v>
      </c>
      <c r="D191">
        <f>'Female Individual Rope Singles'!J48</f>
        <v>13</v>
      </c>
      <c r="E191">
        <f>'Female Individual Rope Singles'!K48</f>
        <v>0</v>
      </c>
    </row>
    <row r="192" spans="1:5" x14ac:dyDescent="0.25">
      <c r="A192">
        <f>'Team Info'!$B$3</f>
        <v>0</v>
      </c>
      <c r="B192">
        <f>'Female Individual Rope Singles'!H49</f>
        <v>11</v>
      </c>
      <c r="C192" t="str">
        <f>'Female Individual Rope Singles'!I49</f>
        <v>FSRx</v>
      </c>
      <c r="D192">
        <f>'Female Individual Rope Singles'!J49</f>
        <v>13</v>
      </c>
      <c r="E192">
        <f>'Female Individual Rope Singles'!K49</f>
        <v>0</v>
      </c>
    </row>
    <row r="193" spans="1:5" x14ac:dyDescent="0.25">
      <c r="A193">
        <f>'Team Info'!$B$3</f>
        <v>0</v>
      </c>
      <c r="B193">
        <f>'Female Individual Rope Singles'!H50</f>
        <v>12</v>
      </c>
      <c r="C193" t="str">
        <f>'Female Individual Rope Singles'!I50</f>
        <v>FSRx</v>
      </c>
      <c r="D193">
        <f>'Female Individual Rope Singles'!J50</f>
        <v>13</v>
      </c>
      <c r="E193">
        <f>'Female Individual Rope Singles'!K50</f>
        <v>0</v>
      </c>
    </row>
    <row r="194" spans="1:5" x14ac:dyDescent="0.25">
      <c r="A194">
        <f>'Team Info'!$B$3</f>
        <v>0</v>
      </c>
      <c r="B194">
        <f>'Female Individual Rope Singles'!H51</f>
        <v>13</v>
      </c>
      <c r="C194" t="str">
        <f>'Female Individual Rope Singles'!I51</f>
        <v>FSRx</v>
      </c>
      <c r="D194">
        <f>'Female Individual Rope Singles'!J51</f>
        <v>13</v>
      </c>
      <c r="E194">
        <f>'Female Individual Rope Singles'!K51</f>
        <v>0</v>
      </c>
    </row>
    <row r="195" spans="1:5" x14ac:dyDescent="0.25">
      <c r="A195">
        <f>'Team Info'!$B$3</f>
        <v>0</v>
      </c>
      <c r="B195">
        <f>'Female Individual Rope Singles'!H52</f>
        <v>14</v>
      </c>
      <c r="C195" t="str">
        <f>'Female Individual Rope Singles'!I52</f>
        <v>FSRx</v>
      </c>
      <c r="D195">
        <f>'Female Individual Rope Singles'!J52</f>
        <v>13</v>
      </c>
      <c r="E195">
        <f>'Female Individual Rope Singles'!K52</f>
        <v>0</v>
      </c>
    </row>
    <row r="196" spans="1:5" x14ac:dyDescent="0.25">
      <c r="A196">
        <f>'Team Info'!$B$3</f>
        <v>0</v>
      </c>
      <c r="B196">
        <f>'Female Individual Rope Singles'!H53</f>
        <v>15</v>
      </c>
      <c r="C196" t="str">
        <f>'Female Individual Rope Singles'!I53</f>
        <v>FSRx</v>
      </c>
      <c r="D196">
        <f>'Female Individual Rope Singles'!J53</f>
        <v>13</v>
      </c>
      <c r="E196">
        <f>'Female Individual Rope Singles'!K53</f>
        <v>0</v>
      </c>
    </row>
    <row r="197" spans="1:5" x14ac:dyDescent="0.25">
      <c r="A197">
        <f>'Team Info'!$B$3</f>
        <v>0</v>
      </c>
      <c r="B197">
        <f>'Female Individual Rope Singles'!H54</f>
        <v>16</v>
      </c>
      <c r="C197" t="str">
        <f>'Female Individual Rope Singles'!I54</f>
        <v>FSRx</v>
      </c>
      <c r="D197">
        <f>'Female Individual Rope Singles'!J54</f>
        <v>13</v>
      </c>
      <c r="E197">
        <f>'Female Individual Rope Singles'!K54</f>
        <v>0</v>
      </c>
    </row>
    <row r="198" spans="1:5" x14ac:dyDescent="0.25">
      <c r="A198">
        <f>'Team Info'!$B$3</f>
        <v>0</v>
      </c>
      <c r="B198">
        <f>'Female Individual Rope Singles'!H55</f>
        <v>17</v>
      </c>
      <c r="C198" t="str">
        <f>'Female Individual Rope Singles'!I55</f>
        <v>FSRx</v>
      </c>
      <c r="D198">
        <f>'Female Individual Rope Singles'!J55</f>
        <v>13</v>
      </c>
      <c r="E198">
        <f>'Female Individual Rope Singles'!K55</f>
        <v>0</v>
      </c>
    </row>
    <row r="199" spans="1:5" x14ac:dyDescent="0.25">
      <c r="A199">
        <f>'Team Info'!$B$3</f>
        <v>0</v>
      </c>
      <c r="B199">
        <f>'Female Individual Rope Singles'!H56</f>
        <v>18</v>
      </c>
      <c r="C199" t="str">
        <f>'Female Individual Rope Singles'!I56</f>
        <v>FSRx</v>
      </c>
      <c r="D199">
        <f>'Female Individual Rope Singles'!J56</f>
        <v>13</v>
      </c>
      <c r="E199">
        <f>'Female Individual Rope Singles'!K56</f>
        <v>0</v>
      </c>
    </row>
    <row r="200" spans="1:5" x14ac:dyDescent="0.25">
      <c r="A200">
        <f>'Team Info'!$B$3</f>
        <v>0</v>
      </c>
      <c r="B200">
        <f>'Female Individual Rope Singles'!H57</f>
        <v>19</v>
      </c>
      <c r="C200" t="str">
        <f>'Female Individual Rope Singles'!I57</f>
        <v>FSRx</v>
      </c>
      <c r="D200">
        <f>'Female Individual Rope Singles'!J57</f>
        <v>13</v>
      </c>
      <c r="E200">
        <f>'Female Individual Rope Singles'!K57</f>
        <v>0</v>
      </c>
    </row>
    <row r="201" spans="1:5" x14ac:dyDescent="0.25">
      <c r="A201">
        <f>'Team Info'!$B$3</f>
        <v>0</v>
      </c>
      <c r="B201">
        <f>'Female Individual Rope Singles'!H58</f>
        <v>20</v>
      </c>
      <c r="C201" t="str">
        <f>'Female Individual Rope Singles'!I58</f>
        <v>FSRx</v>
      </c>
      <c r="D201">
        <f>'Female Individual Rope Singles'!J58</f>
        <v>13</v>
      </c>
      <c r="E201">
        <f>'Female Individual Rope Singles'!K58</f>
        <v>0</v>
      </c>
    </row>
    <row r="202" spans="1:5" x14ac:dyDescent="0.25">
      <c r="A202">
        <f>'Team Info'!$B$3</f>
        <v>0</v>
      </c>
      <c r="B202">
        <f>'Female Individual Rope Singles'!H61</f>
        <v>1</v>
      </c>
      <c r="C202" t="str">
        <f>'Female Individual Rope Singles'!I61</f>
        <v>FSRx</v>
      </c>
      <c r="D202" t="str">
        <f>'Female Individual Rope Singles'!J61</f>
        <v>15-16</v>
      </c>
      <c r="E202">
        <f>'Female Individual Rope Singles'!K61</f>
        <v>0</v>
      </c>
    </row>
    <row r="203" spans="1:5" x14ac:dyDescent="0.25">
      <c r="A203">
        <f>'Team Info'!$B$3</f>
        <v>0</v>
      </c>
      <c r="B203">
        <f>'Female Individual Rope Singles'!H62</f>
        <v>2</v>
      </c>
      <c r="C203" t="str">
        <f>'Female Individual Rope Singles'!I62</f>
        <v>FSRx</v>
      </c>
      <c r="D203" t="str">
        <f>'Female Individual Rope Singles'!J62</f>
        <v>15-16</v>
      </c>
      <c r="E203">
        <f>'Female Individual Rope Singles'!K62</f>
        <v>0</v>
      </c>
    </row>
    <row r="204" spans="1:5" x14ac:dyDescent="0.25">
      <c r="A204">
        <f>'Team Info'!$B$3</f>
        <v>0</v>
      </c>
      <c r="B204">
        <f>'Female Individual Rope Singles'!H63</f>
        <v>3</v>
      </c>
      <c r="C204" t="str">
        <f>'Female Individual Rope Singles'!I63</f>
        <v>FSRx</v>
      </c>
      <c r="D204" t="str">
        <f>'Female Individual Rope Singles'!J63</f>
        <v>15-16</v>
      </c>
      <c r="E204">
        <f>'Female Individual Rope Singles'!K63</f>
        <v>0</v>
      </c>
    </row>
    <row r="205" spans="1:5" x14ac:dyDescent="0.25">
      <c r="A205">
        <f>'Team Info'!$B$3</f>
        <v>0</v>
      </c>
      <c r="B205">
        <f>'Female Individual Rope Singles'!H64</f>
        <v>4</v>
      </c>
      <c r="C205" t="str">
        <f>'Female Individual Rope Singles'!I64</f>
        <v>FSRx</v>
      </c>
      <c r="D205" t="str">
        <f>'Female Individual Rope Singles'!J64</f>
        <v>15-16</v>
      </c>
      <c r="E205">
        <f>'Female Individual Rope Singles'!K64</f>
        <v>0</v>
      </c>
    </row>
    <row r="206" spans="1:5" x14ac:dyDescent="0.25">
      <c r="A206">
        <f>'Team Info'!$B$3</f>
        <v>0</v>
      </c>
      <c r="B206">
        <f>'Female Individual Rope Singles'!H65</f>
        <v>5</v>
      </c>
      <c r="C206" t="str">
        <f>'Female Individual Rope Singles'!I65</f>
        <v>FSRx</v>
      </c>
      <c r="D206" t="str">
        <f>'Female Individual Rope Singles'!J65</f>
        <v>15-16</v>
      </c>
      <c r="E206">
        <f>'Female Individual Rope Singles'!K65</f>
        <v>0</v>
      </c>
    </row>
    <row r="207" spans="1:5" x14ac:dyDescent="0.25">
      <c r="A207">
        <f>'Team Info'!$B$3</f>
        <v>0</v>
      </c>
      <c r="B207">
        <f>'Female Individual Rope Singles'!H66</f>
        <v>6</v>
      </c>
      <c r="C207" t="str">
        <f>'Female Individual Rope Singles'!I66</f>
        <v>FSRx</v>
      </c>
      <c r="D207" t="str">
        <f>'Female Individual Rope Singles'!J66</f>
        <v>15-16</v>
      </c>
      <c r="E207">
        <f>'Female Individual Rope Singles'!K66</f>
        <v>0</v>
      </c>
    </row>
    <row r="208" spans="1:5" x14ac:dyDescent="0.25">
      <c r="A208">
        <f>'Team Info'!$B$3</f>
        <v>0</v>
      </c>
      <c r="B208">
        <f>'Female Individual Rope Singles'!H67</f>
        <v>7</v>
      </c>
      <c r="C208" t="str">
        <f>'Female Individual Rope Singles'!I67</f>
        <v>FSRx</v>
      </c>
      <c r="D208" t="str">
        <f>'Female Individual Rope Singles'!J67</f>
        <v>15-16</v>
      </c>
      <c r="E208">
        <f>'Female Individual Rope Singles'!K67</f>
        <v>0</v>
      </c>
    </row>
    <row r="209" spans="1:5" x14ac:dyDescent="0.25">
      <c r="A209">
        <f>'Team Info'!$B$3</f>
        <v>0</v>
      </c>
      <c r="B209">
        <f>'Female Individual Rope Singles'!H68</f>
        <v>8</v>
      </c>
      <c r="C209" t="str">
        <f>'Female Individual Rope Singles'!I68</f>
        <v>FSRx</v>
      </c>
      <c r="D209" t="str">
        <f>'Female Individual Rope Singles'!J68</f>
        <v>15-16</v>
      </c>
      <c r="E209">
        <f>'Female Individual Rope Singles'!K68</f>
        <v>0</v>
      </c>
    </row>
    <row r="210" spans="1:5" x14ac:dyDescent="0.25">
      <c r="A210">
        <f>'Team Info'!$B$3</f>
        <v>0</v>
      </c>
      <c r="B210">
        <f>'Female Individual Rope Singles'!H69</f>
        <v>9</v>
      </c>
      <c r="C210" t="str">
        <f>'Female Individual Rope Singles'!I69</f>
        <v>FSRx</v>
      </c>
      <c r="D210" t="str">
        <f>'Female Individual Rope Singles'!J69</f>
        <v>15-16</v>
      </c>
      <c r="E210">
        <f>'Female Individual Rope Singles'!K69</f>
        <v>0</v>
      </c>
    </row>
    <row r="211" spans="1:5" x14ac:dyDescent="0.25">
      <c r="A211">
        <f>'Team Info'!$B$3</f>
        <v>0</v>
      </c>
      <c r="B211">
        <f>'Female Individual Rope Singles'!H70</f>
        <v>10</v>
      </c>
      <c r="C211" t="str">
        <f>'Female Individual Rope Singles'!I70</f>
        <v>FSRx</v>
      </c>
      <c r="D211" t="str">
        <f>'Female Individual Rope Singles'!J70</f>
        <v>15-16</v>
      </c>
      <c r="E211">
        <f>'Female Individual Rope Singles'!K70</f>
        <v>0</v>
      </c>
    </row>
    <row r="212" spans="1:5" x14ac:dyDescent="0.25">
      <c r="A212">
        <f>'Team Info'!$B$3</f>
        <v>0</v>
      </c>
      <c r="B212">
        <f>'Female Individual Rope Singles'!H71</f>
        <v>11</v>
      </c>
      <c r="C212" t="str">
        <f>'Female Individual Rope Singles'!I71</f>
        <v>FSRx</v>
      </c>
      <c r="D212" t="str">
        <f>'Female Individual Rope Singles'!J71</f>
        <v>15-16</v>
      </c>
      <c r="E212">
        <f>'Female Individual Rope Singles'!K71</f>
        <v>0</v>
      </c>
    </row>
    <row r="213" spans="1:5" x14ac:dyDescent="0.25">
      <c r="A213">
        <f>'Team Info'!$B$3</f>
        <v>0</v>
      </c>
      <c r="B213">
        <f>'Female Individual Rope Singles'!H72</f>
        <v>12</v>
      </c>
      <c r="C213" t="str">
        <f>'Female Individual Rope Singles'!I72</f>
        <v>FSRx</v>
      </c>
      <c r="D213" t="str">
        <f>'Female Individual Rope Singles'!J72</f>
        <v>15-16</v>
      </c>
      <c r="E213">
        <f>'Female Individual Rope Singles'!K72</f>
        <v>0</v>
      </c>
    </row>
    <row r="214" spans="1:5" x14ac:dyDescent="0.25">
      <c r="A214">
        <f>'Team Info'!$B$3</f>
        <v>0</v>
      </c>
      <c r="B214">
        <f>'Female Individual Rope Singles'!H73</f>
        <v>13</v>
      </c>
      <c r="C214" t="str">
        <f>'Female Individual Rope Singles'!I73</f>
        <v>FSRx</v>
      </c>
      <c r="D214" t="str">
        <f>'Female Individual Rope Singles'!J73</f>
        <v>15-16</v>
      </c>
      <c r="E214">
        <f>'Female Individual Rope Singles'!K73</f>
        <v>0</v>
      </c>
    </row>
    <row r="215" spans="1:5" x14ac:dyDescent="0.25">
      <c r="A215">
        <f>'Team Info'!$B$3</f>
        <v>0</v>
      </c>
      <c r="B215">
        <f>'Female Individual Rope Singles'!H74</f>
        <v>14</v>
      </c>
      <c r="C215" t="str">
        <f>'Female Individual Rope Singles'!I74</f>
        <v>FSRx</v>
      </c>
      <c r="D215" t="str">
        <f>'Female Individual Rope Singles'!J74</f>
        <v>15-16</v>
      </c>
      <c r="E215">
        <f>'Female Individual Rope Singles'!K74</f>
        <v>0</v>
      </c>
    </row>
    <row r="216" spans="1:5" x14ac:dyDescent="0.25">
      <c r="A216">
        <f>'Team Info'!$B$3</f>
        <v>0</v>
      </c>
      <c r="B216">
        <f>'Female Individual Rope Singles'!H75</f>
        <v>15</v>
      </c>
      <c r="C216" t="str">
        <f>'Female Individual Rope Singles'!I75</f>
        <v>FSRx</v>
      </c>
      <c r="D216" t="str">
        <f>'Female Individual Rope Singles'!J75</f>
        <v>15-16</v>
      </c>
      <c r="E216">
        <f>'Female Individual Rope Singles'!K75</f>
        <v>0</v>
      </c>
    </row>
    <row r="217" spans="1:5" x14ac:dyDescent="0.25">
      <c r="A217">
        <f>'Team Info'!$B$3</f>
        <v>0</v>
      </c>
      <c r="B217">
        <f>'Female Individual Rope Singles'!H76</f>
        <v>16</v>
      </c>
      <c r="C217" t="str">
        <f>'Female Individual Rope Singles'!I76</f>
        <v>FSRx</v>
      </c>
      <c r="D217" t="str">
        <f>'Female Individual Rope Singles'!J76</f>
        <v>15-16</v>
      </c>
      <c r="E217">
        <f>'Female Individual Rope Singles'!K76</f>
        <v>0</v>
      </c>
    </row>
    <row r="218" spans="1:5" x14ac:dyDescent="0.25">
      <c r="A218">
        <f>'Team Info'!$B$3</f>
        <v>0</v>
      </c>
      <c r="B218">
        <f>'Female Individual Rope Singles'!H77</f>
        <v>17</v>
      </c>
      <c r="C218" t="str">
        <f>'Female Individual Rope Singles'!I77</f>
        <v>FSRx</v>
      </c>
      <c r="D218" t="str">
        <f>'Female Individual Rope Singles'!J77</f>
        <v>15-16</v>
      </c>
      <c r="E218">
        <f>'Female Individual Rope Singles'!K77</f>
        <v>0</v>
      </c>
    </row>
    <row r="219" spans="1:5" x14ac:dyDescent="0.25">
      <c r="A219">
        <f>'Team Info'!$B$3</f>
        <v>0</v>
      </c>
      <c r="B219">
        <f>'Female Individual Rope Singles'!H78</f>
        <v>18</v>
      </c>
      <c r="C219" t="str">
        <f>'Female Individual Rope Singles'!I78</f>
        <v>FSRx</v>
      </c>
      <c r="D219" t="str">
        <f>'Female Individual Rope Singles'!J78</f>
        <v>15-16</v>
      </c>
      <c r="E219">
        <f>'Female Individual Rope Singles'!K78</f>
        <v>0</v>
      </c>
    </row>
    <row r="220" spans="1:5" x14ac:dyDescent="0.25">
      <c r="A220">
        <f>'Team Info'!$B$3</f>
        <v>0</v>
      </c>
      <c r="B220">
        <f>'Female Individual Rope Singles'!H79</f>
        <v>19</v>
      </c>
      <c r="C220" t="str">
        <f>'Female Individual Rope Singles'!I79</f>
        <v>FSRx</v>
      </c>
      <c r="D220" t="str">
        <f>'Female Individual Rope Singles'!J79</f>
        <v>15-16</v>
      </c>
      <c r="E220">
        <f>'Female Individual Rope Singles'!K79</f>
        <v>0</v>
      </c>
    </row>
    <row r="221" spans="1:5" x14ac:dyDescent="0.25">
      <c r="A221">
        <f>'Team Info'!$B$3</f>
        <v>0</v>
      </c>
      <c r="B221">
        <f>'Female Individual Rope Singles'!H80</f>
        <v>20</v>
      </c>
      <c r="C221" t="str">
        <f>'Female Individual Rope Singles'!I80</f>
        <v>FSRx</v>
      </c>
      <c r="D221" t="str">
        <f>'Female Individual Rope Singles'!J80</f>
        <v>15-16</v>
      </c>
      <c r="E221">
        <f>'Female Individual Rope Singles'!K80</f>
        <v>0</v>
      </c>
    </row>
    <row r="222" spans="1:5" x14ac:dyDescent="0.25">
      <c r="A222">
        <f>'Team Info'!$B$3</f>
        <v>0</v>
      </c>
      <c r="B222">
        <f>'Female Individual Rope Singles'!H83</f>
        <v>1</v>
      </c>
      <c r="C222" t="str">
        <f>'Female Individual Rope Singles'!I83</f>
        <v>FSRx</v>
      </c>
      <c r="D222" t="str">
        <f>'Female Individual Rope Singles'!J83</f>
        <v>19-22</v>
      </c>
      <c r="E222">
        <f>'Female Individual Rope Singles'!K83</f>
        <v>0</v>
      </c>
    </row>
    <row r="223" spans="1:5" x14ac:dyDescent="0.25">
      <c r="A223">
        <f>'Team Info'!$B$3</f>
        <v>0</v>
      </c>
      <c r="B223">
        <f>'Female Individual Rope Singles'!H84</f>
        <v>2</v>
      </c>
      <c r="C223" t="str">
        <f>'Female Individual Rope Singles'!I84</f>
        <v>FSRx</v>
      </c>
      <c r="D223" t="str">
        <f>'Female Individual Rope Singles'!J84</f>
        <v>19-22</v>
      </c>
      <c r="E223">
        <f>'Female Individual Rope Singles'!K84</f>
        <v>0</v>
      </c>
    </row>
    <row r="224" spans="1:5" x14ac:dyDescent="0.25">
      <c r="A224">
        <f>'Team Info'!$B$3</f>
        <v>0</v>
      </c>
      <c r="B224">
        <f>'Female Individual Rope Singles'!H85</f>
        <v>3</v>
      </c>
      <c r="C224" t="str">
        <f>'Female Individual Rope Singles'!I85</f>
        <v>FSRx</v>
      </c>
      <c r="D224" t="str">
        <f>'Female Individual Rope Singles'!J85</f>
        <v>19-22</v>
      </c>
      <c r="E224">
        <f>'Female Individual Rope Singles'!K85</f>
        <v>0</v>
      </c>
    </row>
    <row r="225" spans="1:5" x14ac:dyDescent="0.25">
      <c r="A225">
        <f>'Team Info'!$B$3</f>
        <v>0</v>
      </c>
      <c r="B225">
        <f>'Female Individual Rope Singles'!H86</f>
        <v>4</v>
      </c>
      <c r="C225" t="str">
        <f>'Female Individual Rope Singles'!I86</f>
        <v>FSRx</v>
      </c>
      <c r="D225" t="str">
        <f>'Female Individual Rope Singles'!J86</f>
        <v>19-22</v>
      </c>
      <c r="E225">
        <f>'Female Individual Rope Singles'!K86</f>
        <v>0</v>
      </c>
    </row>
    <row r="226" spans="1:5" x14ac:dyDescent="0.25">
      <c r="A226">
        <f>'Team Info'!$B$3</f>
        <v>0</v>
      </c>
      <c r="B226">
        <f>'Female Individual Rope Singles'!H87</f>
        <v>5</v>
      </c>
      <c r="C226" t="str">
        <f>'Female Individual Rope Singles'!I87</f>
        <v>FSRx</v>
      </c>
      <c r="D226" t="str">
        <f>'Female Individual Rope Singles'!J87</f>
        <v>19-22</v>
      </c>
      <c r="E226">
        <f>'Female Individual Rope Singles'!K87</f>
        <v>0</v>
      </c>
    </row>
    <row r="227" spans="1:5" x14ac:dyDescent="0.25">
      <c r="A227">
        <f>'Team Info'!$B$3</f>
        <v>0</v>
      </c>
      <c r="B227">
        <f>'Female Individual Rope Singles'!H88</f>
        <v>6</v>
      </c>
      <c r="C227" t="str">
        <f>'Female Individual Rope Singles'!I88</f>
        <v>FSRx</v>
      </c>
      <c r="D227" t="str">
        <f>'Female Individual Rope Singles'!J88</f>
        <v>19-22</v>
      </c>
      <c r="E227">
        <f>'Female Individual Rope Singles'!K88</f>
        <v>0</v>
      </c>
    </row>
    <row r="228" spans="1:5" x14ac:dyDescent="0.25">
      <c r="A228">
        <f>'Team Info'!$B$3</f>
        <v>0</v>
      </c>
      <c r="B228">
        <f>'Female Individual Rope Singles'!H89</f>
        <v>7</v>
      </c>
      <c r="C228" t="str">
        <f>'Female Individual Rope Singles'!I89</f>
        <v>FSRx</v>
      </c>
      <c r="D228" t="str">
        <f>'Female Individual Rope Singles'!J89</f>
        <v>19-22</v>
      </c>
      <c r="E228">
        <f>'Female Individual Rope Singles'!K89</f>
        <v>0</v>
      </c>
    </row>
    <row r="229" spans="1:5" x14ac:dyDescent="0.25">
      <c r="A229">
        <f>'Team Info'!$B$3</f>
        <v>0</v>
      </c>
      <c r="B229">
        <f>'Female Individual Rope Singles'!H90</f>
        <v>8</v>
      </c>
      <c r="C229" t="str">
        <f>'Female Individual Rope Singles'!I90</f>
        <v>FSRx</v>
      </c>
      <c r="D229" t="str">
        <f>'Female Individual Rope Singles'!J90</f>
        <v>19-22</v>
      </c>
      <c r="E229">
        <f>'Female Individual Rope Singles'!K90</f>
        <v>0</v>
      </c>
    </row>
    <row r="230" spans="1:5" x14ac:dyDescent="0.25">
      <c r="A230">
        <f>'Team Info'!$B$3</f>
        <v>0</v>
      </c>
      <c r="B230">
        <f>'Female Individual Rope Singles'!H91</f>
        <v>9</v>
      </c>
      <c r="C230" t="str">
        <f>'Female Individual Rope Singles'!I91</f>
        <v>FSRx</v>
      </c>
      <c r="D230" t="str">
        <f>'Female Individual Rope Singles'!J91</f>
        <v>19-22</v>
      </c>
      <c r="E230">
        <f>'Female Individual Rope Singles'!K91</f>
        <v>0</v>
      </c>
    </row>
    <row r="231" spans="1:5" x14ac:dyDescent="0.25">
      <c r="A231">
        <f>'Team Info'!$B$3</f>
        <v>0</v>
      </c>
      <c r="B231">
        <f>'Female Individual Rope Singles'!H92</f>
        <v>10</v>
      </c>
      <c r="C231" t="str">
        <f>'Female Individual Rope Singles'!I92</f>
        <v>FSRx</v>
      </c>
      <c r="D231" t="str">
        <f>'Female Individual Rope Singles'!J92</f>
        <v>19-22</v>
      </c>
      <c r="E231">
        <f>'Female Individual Rope Singles'!K92</f>
        <v>0</v>
      </c>
    </row>
    <row r="232" spans="1:5" x14ac:dyDescent="0.25">
      <c r="A232">
        <f>'Team Info'!$B$3</f>
        <v>0</v>
      </c>
      <c r="B232">
        <f>'Female Individual Rope Singles'!H93</f>
        <v>11</v>
      </c>
      <c r="C232" t="str">
        <f>'Female Individual Rope Singles'!I93</f>
        <v>FSRx</v>
      </c>
      <c r="D232" t="str">
        <f>'Female Individual Rope Singles'!J93</f>
        <v>19-22</v>
      </c>
      <c r="E232">
        <f>'Female Individual Rope Singles'!K93</f>
        <v>0</v>
      </c>
    </row>
    <row r="233" spans="1:5" x14ac:dyDescent="0.25">
      <c r="A233">
        <f>'Team Info'!$B$3</f>
        <v>0</v>
      </c>
      <c r="B233">
        <f>'Female Individual Rope Singles'!H94</f>
        <v>12</v>
      </c>
      <c r="C233" t="str">
        <f>'Female Individual Rope Singles'!I94</f>
        <v>FSRx</v>
      </c>
      <c r="D233" t="str">
        <f>'Female Individual Rope Singles'!J94</f>
        <v>19-22</v>
      </c>
      <c r="E233">
        <f>'Female Individual Rope Singles'!K94</f>
        <v>0</v>
      </c>
    </row>
    <row r="234" spans="1:5" x14ac:dyDescent="0.25">
      <c r="A234">
        <f>'Team Info'!$B$3</f>
        <v>0</v>
      </c>
      <c r="B234">
        <f>'Female Individual Rope Singles'!H95</f>
        <v>13</v>
      </c>
      <c r="C234" t="str">
        <f>'Female Individual Rope Singles'!I95</f>
        <v>FSRx</v>
      </c>
      <c r="D234" t="str">
        <f>'Female Individual Rope Singles'!J95</f>
        <v>19-22</v>
      </c>
      <c r="E234">
        <f>'Female Individual Rope Singles'!K95</f>
        <v>0</v>
      </c>
    </row>
    <row r="235" spans="1:5" x14ac:dyDescent="0.25">
      <c r="A235">
        <f>'Team Info'!$B$3</f>
        <v>0</v>
      </c>
      <c r="B235">
        <f>'Female Individual Rope Singles'!H96</f>
        <v>14</v>
      </c>
      <c r="C235" t="str">
        <f>'Female Individual Rope Singles'!I96</f>
        <v>FSRx</v>
      </c>
      <c r="D235" t="str">
        <f>'Female Individual Rope Singles'!J96</f>
        <v>19-22</v>
      </c>
      <c r="E235">
        <f>'Female Individual Rope Singles'!K96</f>
        <v>0</v>
      </c>
    </row>
    <row r="236" spans="1:5" x14ac:dyDescent="0.25">
      <c r="A236">
        <f>'Team Info'!$B$3</f>
        <v>0</v>
      </c>
      <c r="B236">
        <f>'Female Individual Rope Singles'!H97</f>
        <v>15</v>
      </c>
      <c r="C236" t="str">
        <f>'Female Individual Rope Singles'!I97</f>
        <v>FSRx</v>
      </c>
      <c r="D236" t="str">
        <f>'Female Individual Rope Singles'!J97</f>
        <v>19-22</v>
      </c>
      <c r="E236">
        <f>'Female Individual Rope Singles'!K97</f>
        <v>0</v>
      </c>
    </row>
    <row r="237" spans="1:5" x14ac:dyDescent="0.25">
      <c r="A237">
        <f>'Team Info'!$B$3</f>
        <v>0</v>
      </c>
      <c r="B237">
        <f>'Female Individual Rope Singles'!H98</f>
        <v>16</v>
      </c>
      <c r="C237" t="str">
        <f>'Female Individual Rope Singles'!I98</f>
        <v>FSRx</v>
      </c>
      <c r="D237" t="str">
        <f>'Female Individual Rope Singles'!J98</f>
        <v>19-22</v>
      </c>
      <c r="E237">
        <f>'Female Individual Rope Singles'!K98</f>
        <v>0</v>
      </c>
    </row>
    <row r="238" spans="1:5" x14ac:dyDescent="0.25">
      <c r="A238">
        <f>'Team Info'!$B$3</f>
        <v>0</v>
      </c>
      <c r="B238">
        <f>'Female Individual Rope Singles'!H99</f>
        <v>17</v>
      </c>
      <c r="C238" t="str">
        <f>'Female Individual Rope Singles'!I99</f>
        <v>FSRx</v>
      </c>
      <c r="D238" t="str">
        <f>'Female Individual Rope Singles'!J99</f>
        <v>19-22</v>
      </c>
      <c r="E238">
        <f>'Female Individual Rope Singles'!K99</f>
        <v>0</v>
      </c>
    </row>
    <row r="239" spans="1:5" x14ac:dyDescent="0.25">
      <c r="A239">
        <f>'Team Info'!$B$3</f>
        <v>0</v>
      </c>
      <c r="B239">
        <f>'Female Individual Rope Singles'!H100</f>
        <v>18</v>
      </c>
      <c r="C239" t="str">
        <f>'Female Individual Rope Singles'!I100</f>
        <v>FSRx</v>
      </c>
      <c r="D239" t="str">
        <f>'Female Individual Rope Singles'!J100</f>
        <v>19-22</v>
      </c>
      <c r="E239">
        <f>'Female Individual Rope Singles'!K100</f>
        <v>0</v>
      </c>
    </row>
    <row r="240" spans="1:5" x14ac:dyDescent="0.25">
      <c r="A240">
        <f>'Team Info'!$B$3</f>
        <v>0</v>
      </c>
      <c r="B240">
        <f>'Female Individual Rope Singles'!H101</f>
        <v>19</v>
      </c>
      <c r="C240" t="str">
        <f>'Female Individual Rope Singles'!I101</f>
        <v>FSRx</v>
      </c>
      <c r="D240" t="str">
        <f>'Female Individual Rope Singles'!J101</f>
        <v>19-22</v>
      </c>
      <c r="E240">
        <f>'Female Individual Rope Singles'!K101</f>
        <v>0</v>
      </c>
    </row>
    <row r="241" spans="1:5" x14ac:dyDescent="0.25">
      <c r="A241">
        <f>'Team Info'!$B$3</f>
        <v>0</v>
      </c>
      <c r="B241">
        <f>'Female Individual Rope Singles'!H102</f>
        <v>20</v>
      </c>
      <c r="C241" t="str">
        <f>'Female Individual Rope Singles'!I102</f>
        <v>FSRx</v>
      </c>
      <c r="D241" t="str">
        <f>'Female Individual Rope Singles'!J102</f>
        <v>19-22</v>
      </c>
      <c r="E241">
        <f>'Female Individual Rope Singles'!K102</f>
        <v>0</v>
      </c>
    </row>
    <row r="242" spans="1:5" x14ac:dyDescent="0.25">
      <c r="A242">
        <f>'Team Info'!$B$3</f>
        <v>0</v>
      </c>
      <c r="B242">
        <f>'Individual Triple Unders'!A5</f>
        <v>1</v>
      </c>
      <c r="C242" t="str">
        <f>'Individual Triple Unders'!B5</f>
        <v>MTU</v>
      </c>
      <c r="D242" t="str">
        <f>'Individual Triple Unders'!C5</f>
        <v>15-Over</v>
      </c>
      <c r="E242">
        <f>'Individual Triple Unders'!D5</f>
        <v>0</v>
      </c>
    </row>
    <row r="243" spans="1:5" x14ac:dyDescent="0.25">
      <c r="A243">
        <f>'Team Info'!$B$3</f>
        <v>0</v>
      </c>
      <c r="B243">
        <f>'Individual Triple Unders'!A6</f>
        <v>2</v>
      </c>
      <c r="C243" t="str">
        <f>'Individual Triple Unders'!B6</f>
        <v>MTU</v>
      </c>
      <c r="D243" t="str">
        <f>'Individual Triple Unders'!C6</f>
        <v>15-Over</v>
      </c>
      <c r="E243">
        <f>'Individual Triple Unders'!D6</f>
        <v>0</v>
      </c>
    </row>
    <row r="244" spans="1:5" x14ac:dyDescent="0.25">
      <c r="A244">
        <f>'Team Info'!$B$3</f>
        <v>0</v>
      </c>
      <c r="B244">
        <f>'Individual Triple Unders'!A7</f>
        <v>3</v>
      </c>
      <c r="C244" t="str">
        <f>'Individual Triple Unders'!B7</f>
        <v>MTU</v>
      </c>
      <c r="D244" t="str">
        <f>'Individual Triple Unders'!C7</f>
        <v>15-Over</v>
      </c>
      <c r="E244">
        <f>'Individual Triple Unders'!D7</f>
        <v>0</v>
      </c>
    </row>
    <row r="245" spans="1:5" x14ac:dyDescent="0.25">
      <c r="A245">
        <f>'Team Info'!$B$3</f>
        <v>0</v>
      </c>
      <c r="B245">
        <f>'Individual Triple Unders'!A8</f>
        <v>4</v>
      </c>
      <c r="C245" t="str">
        <f>'Individual Triple Unders'!B8</f>
        <v>MTU</v>
      </c>
      <c r="D245" t="str">
        <f>'Individual Triple Unders'!C8</f>
        <v>15-Over</v>
      </c>
      <c r="E245">
        <f>'Individual Triple Unders'!D8</f>
        <v>0</v>
      </c>
    </row>
    <row r="246" spans="1:5" x14ac:dyDescent="0.25">
      <c r="A246">
        <f>'Team Info'!$B$3</f>
        <v>0</v>
      </c>
      <c r="B246">
        <f>'Individual Triple Unders'!A9</f>
        <v>5</v>
      </c>
      <c r="C246" t="str">
        <f>'Individual Triple Unders'!B9</f>
        <v>MTU</v>
      </c>
      <c r="D246" t="str">
        <f>'Individual Triple Unders'!C9</f>
        <v>15-Over</v>
      </c>
      <c r="E246">
        <f>'Individual Triple Unders'!D9</f>
        <v>0</v>
      </c>
    </row>
    <row r="247" spans="1:5" x14ac:dyDescent="0.25">
      <c r="A247">
        <f>'Team Info'!$B$3</f>
        <v>0</v>
      </c>
      <c r="B247">
        <f>'Individual Triple Unders'!A10</f>
        <v>6</v>
      </c>
      <c r="C247" t="str">
        <f>'Individual Triple Unders'!B10</f>
        <v>MTU</v>
      </c>
      <c r="D247" t="str">
        <f>'Individual Triple Unders'!C10</f>
        <v>15-Over</v>
      </c>
      <c r="E247">
        <f>'Individual Triple Unders'!D10</f>
        <v>0</v>
      </c>
    </row>
    <row r="248" spans="1:5" x14ac:dyDescent="0.25">
      <c r="A248">
        <f>'Team Info'!$B$3</f>
        <v>0</v>
      </c>
      <c r="B248">
        <f>'Individual Triple Unders'!A11</f>
        <v>7</v>
      </c>
      <c r="C248" t="str">
        <f>'Individual Triple Unders'!B11</f>
        <v>MTU</v>
      </c>
      <c r="D248" t="str">
        <f>'Individual Triple Unders'!C11</f>
        <v>15-Over</v>
      </c>
      <c r="E248">
        <f>'Individual Triple Unders'!D11</f>
        <v>0</v>
      </c>
    </row>
    <row r="249" spans="1:5" x14ac:dyDescent="0.25">
      <c r="A249">
        <f>'Team Info'!$B$3</f>
        <v>0</v>
      </c>
      <c r="B249">
        <f>'Individual Triple Unders'!A12</f>
        <v>8</v>
      </c>
      <c r="C249" t="str">
        <f>'Individual Triple Unders'!B12</f>
        <v>MTU</v>
      </c>
      <c r="D249" t="str">
        <f>'Individual Triple Unders'!C12</f>
        <v>15-Over</v>
      </c>
      <c r="E249">
        <f>'Individual Triple Unders'!D12</f>
        <v>0</v>
      </c>
    </row>
    <row r="250" spans="1:5" x14ac:dyDescent="0.25">
      <c r="A250">
        <f>'Team Info'!$B$3</f>
        <v>0</v>
      </c>
      <c r="B250">
        <f>'Individual Triple Unders'!A13</f>
        <v>9</v>
      </c>
      <c r="C250" t="str">
        <f>'Individual Triple Unders'!B13</f>
        <v>MTU</v>
      </c>
      <c r="D250" t="str">
        <f>'Individual Triple Unders'!C13</f>
        <v>15-Over</v>
      </c>
      <c r="E250">
        <f>'Individual Triple Unders'!D13</f>
        <v>0</v>
      </c>
    </row>
    <row r="251" spans="1:5" x14ac:dyDescent="0.25">
      <c r="A251">
        <f>'Team Info'!$B$3</f>
        <v>0</v>
      </c>
      <c r="B251">
        <f>'Individual Triple Unders'!A14</f>
        <v>10</v>
      </c>
      <c r="C251" t="str">
        <f>'Individual Triple Unders'!B14</f>
        <v>MTU</v>
      </c>
      <c r="D251" t="str">
        <f>'Individual Triple Unders'!C14</f>
        <v>15-Over</v>
      </c>
      <c r="E251">
        <f>'Individual Triple Unders'!D14</f>
        <v>0</v>
      </c>
    </row>
    <row r="252" spans="1:5" x14ac:dyDescent="0.25">
      <c r="A252">
        <f>'Team Info'!$B$3</f>
        <v>0</v>
      </c>
      <c r="B252">
        <f>'Individual Triple Unders'!A15</f>
        <v>11</v>
      </c>
      <c r="C252" t="str">
        <f>'Individual Triple Unders'!B15</f>
        <v>MTU</v>
      </c>
      <c r="D252" t="str">
        <f>'Individual Triple Unders'!C15</f>
        <v>15-Over</v>
      </c>
      <c r="E252">
        <f>'Individual Triple Unders'!D15</f>
        <v>0</v>
      </c>
    </row>
    <row r="253" spans="1:5" x14ac:dyDescent="0.25">
      <c r="A253">
        <f>'Team Info'!$B$3</f>
        <v>0</v>
      </c>
      <c r="B253">
        <f>'Individual Triple Unders'!A16</f>
        <v>12</v>
      </c>
      <c r="C253" t="str">
        <f>'Individual Triple Unders'!B16</f>
        <v>MTU</v>
      </c>
      <c r="D253" t="str">
        <f>'Individual Triple Unders'!C16</f>
        <v>15-Over</v>
      </c>
      <c r="E253">
        <f>'Individual Triple Unders'!D16</f>
        <v>0</v>
      </c>
    </row>
    <row r="254" spans="1:5" x14ac:dyDescent="0.25">
      <c r="A254">
        <f>'Team Info'!$B$3</f>
        <v>0</v>
      </c>
      <c r="B254">
        <f>'Individual Triple Unders'!A17</f>
        <v>13</v>
      </c>
      <c r="C254" t="str">
        <f>'Individual Triple Unders'!B17</f>
        <v>MTU</v>
      </c>
      <c r="D254" t="str">
        <f>'Individual Triple Unders'!C17</f>
        <v>15-Over</v>
      </c>
      <c r="E254">
        <f>'Individual Triple Unders'!D17</f>
        <v>0</v>
      </c>
    </row>
    <row r="255" spans="1:5" x14ac:dyDescent="0.25">
      <c r="A255">
        <f>'Team Info'!$B$3</f>
        <v>0</v>
      </c>
      <c r="B255">
        <f>'Individual Triple Unders'!A18</f>
        <v>14</v>
      </c>
      <c r="C255" t="str">
        <f>'Individual Triple Unders'!B18</f>
        <v>MTU</v>
      </c>
      <c r="D255" t="str">
        <f>'Individual Triple Unders'!C18</f>
        <v>15-Over</v>
      </c>
      <c r="E255">
        <f>'Individual Triple Unders'!D18</f>
        <v>0</v>
      </c>
    </row>
    <row r="256" spans="1:5" x14ac:dyDescent="0.25">
      <c r="A256">
        <f>'Team Info'!$B$3</f>
        <v>0</v>
      </c>
      <c r="B256">
        <f>'Individual Triple Unders'!A19</f>
        <v>15</v>
      </c>
      <c r="C256" t="str">
        <f>'Individual Triple Unders'!B19</f>
        <v>MTU</v>
      </c>
      <c r="D256" t="str">
        <f>'Individual Triple Unders'!C19</f>
        <v>15-Over</v>
      </c>
      <c r="E256">
        <f>'Individual Triple Unders'!D19</f>
        <v>0</v>
      </c>
    </row>
    <row r="257" spans="1:5" x14ac:dyDescent="0.25">
      <c r="A257">
        <f>'Team Info'!$B$3</f>
        <v>0</v>
      </c>
      <c r="B257">
        <f>'Individual Triple Unders'!A20</f>
        <v>16</v>
      </c>
      <c r="C257" t="str">
        <f>'Individual Triple Unders'!B20</f>
        <v>MTU</v>
      </c>
      <c r="D257" t="str">
        <f>'Individual Triple Unders'!C20</f>
        <v>15-Over</v>
      </c>
      <c r="E257">
        <f>'Individual Triple Unders'!D20</f>
        <v>0</v>
      </c>
    </row>
    <row r="258" spans="1:5" x14ac:dyDescent="0.25">
      <c r="A258">
        <f>'Team Info'!$B$3</f>
        <v>0</v>
      </c>
      <c r="B258">
        <f>'Individual Triple Unders'!A21</f>
        <v>17</v>
      </c>
      <c r="C258" t="str">
        <f>'Individual Triple Unders'!B21</f>
        <v>MTU</v>
      </c>
      <c r="D258" t="str">
        <f>'Individual Triple Unders'!C21</f>
        <v>15-Over</v>
      </c>
      <c r="E258">
        <f>'Individual Triple Unders'!D21</f>
        <v>0</v>
      </c>
    </row>
    <row r="259" spans="1:5" x14ac:dyDescent="0.25">
      <c r="A259">
        <f>'Team Info'!$B$3</f>
        <v>0</v>
      </c>
      <c r="B259">
        <f>'Individual Triple Unders'!A22</f>
        <v>18</v>
      </c>
      <c r="C259" t="str">
        <f>'Individual Triple Unders'!B22</f>
        <v>MTU</v>
      </c>
      <c r="D259" t="str">
        <f>'Individual Triple Unders'!C22</f>
        <v>15-Over</v>
      </c>
      <c r="E259">
        <f>'Individual Triple Unders'!D22</f>
        <v>0</v>
      </c>
    </row>
    <row r="260" spans="1:5" x14ac:dyDescent="0.25">
      <c r="A260">
        <f>'Team Info'!$B$3</f>
        <v>0</v>
      </c>
      <c r="B260">
        <f>'Individual Triple Unders'!A23</f>
        <v>19</v>
      </c>
      <c r="C260" t="str">
        <f>'Individual Triple Unders'!B23</f>
        <v>MTU</v>
      </c>
      <c r="D260" t="str">
        <f>'Individual Triple Unders'!C23</f>
        <v>15-Over</v>
      </c>
      <c r="E260">
        <f>'Individual Triple Unders'!D23</f>
        <v>0</v>
      </c>
    </row>
    <row r="261" spans="1:5" x14ac:dyDescent="0.25">
      <c r="A261">
        <f>'Team Info'!$B$3</f>
        <v>0</v>
      </c>
      <c r="B261">
        <f>'Individual Triple Unders'!A24</f>
        <v>20</v>
      </c>
      <c r="C261" t="str">
        <f>'Individual Triple Unders'!B24</f>
        <v>MTU</v>
      </c>
      <c r="D261" t="str">
        <f>'Individual Triple Unders'!C24</f>
        <v>15-Over</v>
      </c>
      <c r="E261">
        <f>'Individual Triple Unders'!D24</f>
        <v>0</v>
      </c>
    </row>
    <row r="262" spans="1:5" x14ac:dyDescent="0.25">
      <c r="A262">
        <f>'Team Info'!$B$3</f>
        <v>0</v>
      </c>
      <c r="B262">
        <f>'Individual Triple Unders'!H5</f>
        <v>1</v>
      </c>
      <c r="C262" t="str">
        <f>'Individual Triple Unders'!I5</f>
        <v>FTU</v>
      </c>
      <c r="D262" t="str">
        <f>'Individual Triple Unders'!J5</f>
        <v>15-Over</v>
      </c>
      <c r="E262">
        <f>'Individual Triple Unders'!K5</f>
        <v>0</v>
      </c>
    </row>
    <row r="263" spans="1:5" x14ac:dyDescent="0.25">
      <c r="A263">
        <f>'Team Info'!$B$3</f>
        <v>0</v>
      </c>
      <c r="B263">
        <f>'Individual Triple Unders'!H6</f>
        <v>2</v>
      </c>
      <c r="C263" t="str">
        <f>'Individual Triple Unders'!I6</f>
        <v>FTU</v>
      </c>
      <c r="D263" t="str">
        <f>'Individual Triple Unders'!J6</f>
        <v>15-Over</v>
      </c>
      <c r="E263">
        <f>'Individual Triple Unders'!K6</f>
        <v>0</v>
      </c>
    </row>
    <row r="264" spans="1:5" x14ac:dyDescent="0.25">
      <c r="A264">
        <f>'Team Info'!$B$3</f>
        <v>0</v>
      </c>
      <c r="B264">
        <f>'Individual Triple Unders'!H7</f>
        <v>3</v>
      </c>
      <c r="C264" t="str">
        <f>'Individual Triple Unders'!I7</f>
        <v>FTU</v>
      </c>
      <c r="D264" t="str">
        <f>'Individual Triple Unders'!J7</f>
        <v>15-Over</v>
      </c>
      <c r="E264">
        <f>'Individual Triple Unders'!K7</f>
        <v>0</v>
      </c>
    </row>
    <row r="265" spans="1:5" x14ac:dyDescent="0.25">
      <c r="A265">
        <f>'Team Info'!$B$3</f>
        <v>0</v>
      </c>
      <c r="B265">
        <f>'Individual Triple Unders'!H8</f>
        <v>4</v>
      </c>
      <c r="C265" t="str">
        <f>'Individual Triple Unders'!I8</f>
        <v>FTU</v>
      </c>
      <c r="D265" t="str">
        <f>'Individual Triple Unders'!J8</f>
        <v>15-Over</v>
      </c>
      <c r="E265">
        <f>'Individual Triple Unders'!K8</f>
        <v>0</v>
      </c>
    </row>
    <row r="266" spans="1:5" x14ac:dyDescent="0.25">
      <c r="A266">
        <f>'Team Info'!$B$3</f>
        <v>0</v>
      </c>
      <c r="B266">
        <f>'Individual Triple Unders'!H9</f>
        <v>5</v>
      </c>
      <c r="C266" t="str">
        <f>'Individual Triple Unders'!I9</f>
        <v>FTU</v>
      </c>
      <c r="D266" t="str">
        <f>'Individual Triple Unders'!J9</f>
        <v>15-Over</v>
      </c>
      <c r="E266">
        <f>'Individual Triple Unders'!K9</f>
        <v>0</v>
      </c>
    </row>
    <row r="267" spans="1:5" x14ac:dyDescent="0.25">
      <c r="A267">
        <f>'Team Info'!$B$3</f>
        <v>0</v>
      </c>
      <c r="B267">
        <f>'Individual Triple Unders'!H10</f>
        <v>6</v>
      </c>
      <c r="C267" t="str">
        <f>'Individual Triple Unders'!I10</f>
        <v>FTU</v>
      </c>
      <c r="D267" t="str">
        <f>'Individual Triple Unders'!J10</f>
        <v>15-Over</v>
      </c>
      <c r="E267">
        <f>'Individual Triple Unders'!K10</f>
        <v>0</v>
      </c>
    </row>
    <row r="268" spans="1:5" x14ac:dyDescent="0.25">
      <c r="A268">
        <f>'Team Info'!$B$3</f>
        <v>0</v>
      </c>
      <c r="B268">
        <f>'Individual Triple Unders'!H11</f>
        <v>7</v>
      </c>
      <c r="C268" t="str">
        <f>'Individual Triple Unders'!I11</f>
        <v>FTU</v>
      </c>
      <c r="D268" t="str">
        <f>'Individual Triple Unders'!J11</f>
        <v>15-Over</v>
      </c>
      <c r="E268">
        <f>'Individual Triple Unders'!K11</f>
        <v>0</v>
      </c>
    </row>
    <row r="269" spans="1:5" x14ac:dyDescent="0.25">
      <c r="A269">
        <f>'Team Info'!$B$3</f>
        <v>0</v>
      </c>
      <c r="B269">
        <f>'Individual Triple Unders'!H12</f>
        <v>8</v>
      </c>
      <c r="C269" t="str">
        <f>'Individual Triple Unders'!I12</f>
        <v>FTU</v>
      </c>
      <c r="D269" t="str">
        <f>'Individual Triple Unders'!J12</f>
        <v>15-Over</v>
      </c>
      <c r="E269">
        <f>'Individual Triple Unders'!K12</f>
        <v>0</v>
      </c>
    </row>
    <row r="270" spans="1:5" x14ac:dyDescent="0.25">
      <c r="A270">
        <f>'Team Info'!$B$3</f>
        <v>0</v>
      </c>
      <c r="B270">
        <f>'Individual Triple Unders'!H13</f>
        <v>9</v>
      </c>
      <c r="C270" t="str">
        <f>'Individual Triple Unders'!I13</f>
        <v>FTU</v>
      </c>
      <c r="D270" t="str">
        <f>'Individual Triple Unders'!J13</f>
        <v>15-Over</v>
      </c>
      <c r="E270">
        <f>'Individual Triple Unders'!K13</f>
        <v>0</v>
      </c>
    </row>
    <row r="271" spans="1:5" x14ac:dyDescent="0.25">
      <c r="A271">
        <f>'Team Info'!$B$3</f>
        <v>0</v>
      </c>
      <c r="B271">
        <f>'Individual Triple Unders'!H14</f>
        <v>10</v>
      </c>
      <c r="C271" t="str">
        <f>'Individual Triple Unders'!I14</f>
        <v>FTU</v>
      </c>
      <c r="D271" t="str">
        <f>'Individual Triple Unders'!J14</f>
        <v>15-Over</v>
      </c>
      <c r="E271">
        <f>'Individual Triple Unders'!K14</f>
        <v>0</v>
      </c>
    </row>
    <row r="272" spans="1:5" x14ac:dyDescent="0.25">
      <c r="A272">
        <f>'Team Info'!$B$3</f>
        <v>0</v>
      </c>
      <c r="B272">
        <f>'Individual Triple Unders'!H15</f>
        <v>11</v>
      </c>
      <c r="C272" t="str">
        <f>'Individual Triple Unders'!I15</f>
        <v>FTU</v>
      </c>
      <c r="D272" t="str">
        <f>'Individual Triple Unders'!J15</f>
        <v>15-Over</v>
      </c>
      <c r="E272">
        <f>'Individual Triple Unders'!K15</f>
        <v>0</v>
      </c>
    </row>
    <row r="273" spans="1:6" x14ac:dyDescent="0.25">
      <c r="A273">
        <f>'Team Info'!$B$3</f>
        <v>0</v>
      </c>
      <c r="B273">
        <f>'Individual Triple Unders'!H16</f>
        <v>12</v>
      </c>
      <c r="C273" t="str">
        <f>'Individual Triple Unders'!I16</f>
        <v>FTU</v>
      </c>
      <c r="D273" t="str">
        <f>'Individual Triple Unders'!J16</f>
        <v>15-Over</v>
      </c>
      <c r="E273">
        <f>'Individual Triple Unders'!K16</f>
        <v>0</v>
      </c>
    </row>
    <row r="274" spans="1:6" x14ac:dyDescent="0.25">
      <c r="A274">
        <f>'Team Info'!$B$3</f>
        <v>0</v>
      </c>
      <c r="B274">
        <f>'Individual Triple Unders'!H17</f>
        <v>13</v>
      </c>
      <c r="C274" t="str">
        <f>'Individual Triple Unders'!I17</f>
        <v>FTU</v>
      </c>
      <c r="D274" t="str">
        <f>'Individual Triple Unders'!J17</f>
        <v>15-Over</v>
      </c>
      <c r="E274">
        <f>'Individual Triple Unders'!K17</f>
        <v>0</v>
      </c>
    </row>
    <row r="275" spans="1:6" x14ac:dyDescent="0.25">
      <c r="A275">
        <f>'Team Info'!$B$3</f>
        <v>0</v>
      </c>
      <c r="B275">
        <f>'Individual Triple Unders'!H18</f>
        <v>14</v>
      </c>
      <c r="C275" t="str">
        <f>'Individual Triple Unders'!I18</f>
        <v>FTU</v>
      </c>
      <c r="D275" t="str">
        <f>'Individual Triple Unders'!J18</f>
        <v>15-Over</v>
      </c>
      <c r="E275">
        <f>'Individual Triple Unders'!K18</f>
        <v>0</v>
      </c>
    </row>
    <row r="276" spans="1:6" x14ac:dyDescent="0.25">
      <c r="A276">
        <f>'Team Info'!$B$3</f>
        <v>0</v>
      </c>
      <c r="B276">
        <f>'Individual Triple Unders'!H19</f>
        <v>15</v>
      </c>
      <c r="C276" t="str">
        <f>'Individual Triple Unders'!I19</f>
        <v>FTU</v>
      </c>
      <c r="D276" t="str">
        <f>'Individual Triple Unders'!J19</f>
        <v>15-Over</v>
      </c>
      <c r="E276">
        <f>'Individual Triple Unders'!K19</f>
        <v>0</v>
      </c>
    </row>
    <row r="277" spans="1:6" x14ac:dyDescent="0.25">
      <c r="A277">
        <f>'Team Info'!$B$3</f>
        <v>0</v>
      </c>
      <c r="B277">
        <f>'Individual Triple Unders'!H20</f>
        <v>16</v>
      </c>
      <c r="C277" t="str">
        <f>'Individual Triple Unders'!I20</f>
        <v>FTU</v>
      </c>
      <c r="D277" t="str">
        <f>'Individual Triple Unders'!J20</f>
        <v>15-Over</v>
      </c>
      <c r="E277">
        <f>'Individual Triple Unders'!K20</f>
        <v>0</v>
      </c>
    </row>
    <row r="278" spans="1:6" x14ac:dyDescent="0.25">
      <c r="A278">
        <f>'Team Info'!$B$3</f>
        <v>0</v>
      </c>
      <c r="B278">
        <f>'Individual Triple Unders'!H21</f>
        <v>17</v>
      </c>
      <c r="C278" t="str">
        <f>'Individual Triple Unders'!I21</f>
        <v>FTU</v>
      </c>
      <c r="D278" t="str">
        <f>'Individual Triple Unders'!J21</f>
        <v>15-Over</v>
      </c>
      <c r="E278">
        <f>'Individual Triple Unders'!K21</f>
        <v>0</v>
      </c>
    </row>
    <row r="279" spans="1:6" x14ac:dyDescent="0.25">
      <c r="A279">
        <f>'Team Info'!$B$3</f>
        <v>0</v>
      </c>
      <c r="B279">
        <f>'Individual Triple Unders'!H22</f>
        <v>18</v>
      </c>
      <c r="C279" t="str">
        <f>'Individual Triple Unders'!I22</f>
        <v>FTU</v>
      </c>
      <c r="D279" t="str">
        <f>'Individual Triple Unders'!J22</f>
        <v>15-Over</v>
      </c>
      <c r="E279">
        <f>'Individual Triple Unders'!K22</f>
        <v>0</v>
      </c>
    </row>
    <row r="280" spans="1:6" x14ac:dyDescent="0.25">
      <c r="A280">
        <f>'Team Info'!$B$3</f>
        <v>0</v>
      </c>
      <c r="B280">
        <f>'Individual Triple Unders'!H23</f>
        <v>19</v>
      </c>
      <c r="C280" t="str">
        <f>'Individual Triple Unders'!I23</f>
        <v>FTU</v>
      </c>
      <c r="D280" t="str">
        <f>'Individual Triple Unders'!J23</f>
        <v>15-Over</v>
      </c>
      <c r="E280">
        <f>'Individual Triple Unders'!K23</f>
        <v>0</v>
      </c>
    </row>
    <row r="281" spans="1:6" x14ac:dyDescent="0.25">
      <c r="A281">
        <f>'Team Info'!$B$3</f>
        <v>0</v>
      </c>
      <c r="B281">
        <f>'Individual Triple Unders'!H24</f>
        <v>20</v>
      </c>
      <c r="C281" t="str">
        <f>'Individual Triple Unders'!I24</f>
        <v>FTU</v>
      </c>
      <c r="D281" t="str">
        <f>'Individual Triple Unders'!J24</f>
        <v>15-Over</v>
      </c>
      <c r="E281">
        <f>'Individual Triple Unders'!K24</f>
        <v>0</v>
      </c>
    </row>
    <row r="282" spans="1:6" x14ac:dyDescent="0.25">
      <c r="A282">
        <f>'Team Info'!$B$3</f>
        <v>0</v>
      </c>
      <c r="B282">
        <f>'Individual Rope Pairs'!A5</f>
        <v>1</v>
      </c>
      <c r="C282" t="str">
        <f>'Individual Rope Pairs'!B5</f>
        <v>SRPx</v>
      </c>
      <c r="D282" t="str">
        <f>'Individual Rope Pairs'!C5</f>
        <v>8-under</v>
      </c>
      <c r="E282">
        <f>'Individual Rope Pairs'!D5</f>
        <v>0</v>
      </c>
      <c r="F282">
        <f>'Individual Rope Pairs'!F5</f>
        <v>0</v>
      </c>
    </row>
    <row r="283" spans="1:6" x14ac:dyDescent="0.25">
      <c r="A283">
        <f>'Team Info'!$B$3</f>
        <v>0</v>
      </c>
      <c r="B283">
        <f>'Individual Rope Pairs'!A6</f>
        <v>2</v>
      </c>
      <c r="C283" t="str">
        <f>'Individual Rope Pairs'!B6</f>
        <v>SRPx</v>
      </c>
      <c r="D283" t="str">
        <f>'Individual Rope Pairs'!C6</f>
        <v>8-under</v>
      </c>
      <c r="E283">
        <f>'Individual Rope Pairs'!D6</f>
        <v>0</v>
      </c>
      <c r="F283">
        <f>'Individual Rope Pairs'!F6</f>
        <v>0</v>
      </c>
    </row>
    <row r="284" spans="1:6" x14ac:dyDescent="0.25">
      <c r="A284">
        <f>'Team Info'!$B$3</f>
        <v>0</v>
      </c>
      <c r="B284">
        <f>'Individual Rope Pairs'!A7</f>
        <v>3</v>
      </c>
      <c r="C284" t="str">
        <f>'Individual Rope Pairs'!B7</f>
        <v>SRPx</v>
      </c>
      <c r="D284" t="str">
        <f>'Individual Rope Pairs'!C7</f>
        <v>8-under</v>
      </c>
      <c r="E284">
        <f>'Individual Rope Pairs'!D7</f>
        <v>0</v>
      </c>
      <c r="F284">
        <f>'Individual Rope Pairs'!F7</f>
        <v>0</v>
      </c>
    </row>
    <row r="285" spans="1:6" x14ac:dyDescent="0.25">
      <c r="A285">
        <f>'Team Info'!$B$3</f>
        <v>0</v>
      </c>
      <c r="B285">
        <f>'Individual Rope Pairs'!A8</f>
        <v>4</v>
      </c>
      <c r="C285" t="str">
        <f>'Individual Rope Pairs'!B8</f>
        <v>SRPx</v>
      </c>
      <c r="D285" t="str">
        <f>'Individual Rope Pairs'!C8</f>
        <v>8-under</v>
      </c>
      <c r="E285">
        <f>'Individual Rope Pairs'!D8</f>
        <v>0</v>
      </c>
      <c r="F285">
        <f>'Individual Rope Pairs'!F8</f>
        <v>0</v>
      </c>
    </row>
    <row r="286" spans="1:6" x14ac:dyDescent="0.25">
      <c r="A286">
        <f>'Team Info'!$B$3</f>
        <v>0</v>
      </c>
      <c r="B286">
        <f>'Individual Rope Pairs'!A9</f>
        <v>5</v>
      </c>
      <c r="C286" t="str">
        <f>'Individual Rope Pairs'!B9</f>
        <v>SRPx</v>
      </c>
      <c r="D286" t="str">
        <f>'Individual Rope Pairs'!C9</f>
        <v>8-under</v>
      </c>
      <c r="E286">
        <f>'Individual Rope Pairs'!D9</f>
        <v>0</v>
      </c>
      <c r="F286">
        <f>'Individual Rope Pairs'!F9</f>
        <v>0</v>
      </c>
    </row>
    <row r="287" spans="1:6" x14ac:dyDescent="0.25">
      <c r="A287">
        <f>'Team Info'!$B$3</f>
        <v>0</v>
      </c>
      <c r="B287">
        <f>'Individual Rope Pairs'!A10</f>
        <v>6</v>
      </c>
      <c r="C287" t="str">
        <f>'Individual Rope Pairs'!B10</f>
        <v>SRPx</v>
      </c>
      <c r="D287" t="str">
        <f>'Individual Rope Pairs'!C10</f>
        <v>8-under</v>
      </c>
      <c r="E287">
        <f>'Individual Rope Pairs'!D10</f>
        <v>0</v>
      </c>
      <c r="F287">
        <f>'Individual Rope Pairs'!F10</f>
        <v>0</v>
      </c>
    </row>
    <row r="288" spans="1:6" x14ac:dyDescent="0.25">
      <c r="A288">
        <f>'Team Info'!$B$3</f>
        <v>0</v>
      </c>
      <c r="B288">
        <f>'Individual Rope Pairs'!A11</f>
        <v>7</v>
      </c>
      <c r="C288" t="str">
        <f>'Individual Rope Pairs'!B11</f>
        <v>SRPx</v>
      </c>
      <c r="D288" t="str">
        <f>'Individual Rope Pairs'!C11</f>
        <v>8-under</v>
      </c>
      <c r="E288">
        <f>'Individual Rope Pairs'!D11</f>
        <v>0</v>
      </c>
      <c r="F288">
        <f>'Individual Rope Pairs'!F11</f>
        <v>0</v>
      </c>
    </row>
    <row r="289" spans="1:6" x14ac:dyDescent="0.25">
      <c r="A289">
        <f>'Team Info'!$B$3</f>
        <v>0</v>
      </c>
      <c r="B289">
        <f>'Individual Rope Pairs'!A12</f>
        <v>8</v>
      </c>
      <c r="C289" t="str">
        <f>'Individual Rope Pairs'!B12</f>
        <v>SRPx</v>
      </c>
      <c r="D289" t="str">
        <f>'Individual Rope Pairs'!C12</f>
        <v>8-under</v>
      </c>
      <c r="E289">
        <f>'Individual Rope Pairs'!D12</f>
        <v>0</v>
      </c>
      <c r="F289">
        <f>'Individual Rope Pairs'!F12</f>
        <v>0</v>
      </c>
    </row>
    <row r="290" spans="1:6" x14ac:dyDescent="0.25">
      <c r="A290">
        <f>'Team Info'!$B$3</f>
        <v>0</v>
      </c>
      <c r="B290">
        <f>'Individual Rope Pairs'!A15</f>
        <v>1</v>
      </c>
      <c r="C290" t="str">
        <f>'Individual Rope Pairs'!B15</f>
        <v>SRPx</v>
      </c>
      <c r="D290" t="str">
        <f>'Individual Rope Pairs'!C15</f>
        <v>9-10</v>
      </c>
      <c r="E290">
        <f>'Individual Rope Pairs'!D15</f>
        <v>0</v>
      </c>
      <c r="F290">
        <f>'Individual Rope Pairs'!F15</f>
        <v>0</v>
      </c>
    </row>
    <row r="291" spans="1:6" x14ac:dyDescent="0.25">
      <c r="A291">
        <f>'Team Info'!$B$3</f>
        <v>0</v>
      </c>
      <c r="B291">
        <f>'Individual Rope Pairs'!A16</f>
        <v>2</v>
      </c>
      <c r="C291" t="str">
        <f>'Individual Rope Pairs'!B16</f>
        <v>SRPx</v>
      </c>
      <c r="D291" t="str">
        <f>'Individual Rope Pairs'!C16</f>
        <v>9-10</v>
      </c>
      <c r="E291">
        <f>'Individual Rope Pairs'!D16</f>
        <v>0</v>
      </c>
      <c r="F291">
        <f>'Individual Rope Pairs'!F16</f>
        <v>0</v>
      </c>
    </row>
    <row r="292" spans="1:6" x14ac:dyDescent="0.25">
      <c r="A292">
        <f>'Team Info'!$B$3</f>
        <v>0</v>
      </c>
      <c r="B292">
        <f>'Individual Rope Pairs'!A17</f>
        <v>3</v>
      </c>
      <c r="C292" t="str">
        <f>'Individual Rope Pairs'!B17</f>
        <v>SRPx</v>
      </c>
      <c r="D292" t="str">
        <f>'Individual Rope Pairs'!C17</f>
        <v>9-10</v>
      </c>
      <c r="E292">
        <f>'Individual Rope Pairs'!D17</f>
        <v>0</v>
      </c>
      <c r="F292">
        <f>'Individual Rope Pairs'!F17</f>
        <v>0</v>
      </c>
    </row>
    <row r="293" spans="1:6" x14ac:dyDescent="0.25">
      <c r="A293">
        <f>'Team Info'!$B$3</f>
        <v>0</v>
      </c>
      <c r="B293">
        <f>'Individual Rope Pairs'!A18</f>
        <v>4</v>
      </c>
      <c r="C293" t="str">
        <f>'Individual Rope Pairs'!B18</f>
        <v>SRPx</v>
      </c>
      <c r="D293" t="str">
        <f>'Individual Rope Pairs'!C18</f>
        <v>9-10</v>
      </c>
      <c r="E293">
        <f>'Individual Rope Pairs'!D18</f>
        <v>0</v>
      </c>
      <c r="F293">
        <f>'Individual Rope Pairs'!F18</f>
        <v>0</v>
      </c>
    </row>
    <row r="294" spans="1:6" x14ac:dyDescent="0.25">
      <c r="A294">
        <f>'Team Info'!$B$3</f>
        <v>0</v>
      </c>
      <c r="B294">
        <f>'Individual Rope Pairs'!A19</f>
        <v>5</v>
      </c>
      <c r="C294" t="str">
        <f>'Individual Rope Pairs'!B19</f>
        <v>SRPx</v>
      </c>
      <c r="D294" t="str">
        <f>'Individual Rope Pairs'!C19</f>
        <v>9-10</v>
      </c>
      <c r="E294">
        <f>'Individual Rope Pairs'!D19</f>
        <v>0</v>
      </c>
      <c r="F294">
        <f>'Individual Rope Pairs'!F19</f>
        <v>0</v>
      </c>
    </row>
    <row r="295" spans="1:6" x14ac:dyDescent="0.25">
      <c r="A295">
        <f>'Team Info'!$B$3</f>
        <v>0</v>
      </c>
      <c r="B295">
        <f>'Individual Rope Pairs'!A20</f>
        <v>6</v>
      </c>
      <c r="C295" t="str">
        <f>'Individual Rope Pairs'!B20</f>
        <v>SRPx</v>
      </c>
      <c r="D295" t="str">
        <f>'Individual Rope Pairs'!C20</f>
        <v>9-10</v>
      </c>
      <c r="E295">
        <f>'Individual Rope Pairs'!D20</f>
        <v>0</v>
      </c>
      <c r="F295">
        <f>'Individual Rope Pairs'!F20</f>
        <v>0</v>
      </c>
    </row>
    <row r="296" spans="1:6" x14ac:dyDescent="0.25">
      <c r="A296">
        <f>'Team Info'!$B$3</f>
        <v>0</v>
      </c>
      <c r="B296">
        <f>'Individual Rope Pairs'!A21</f>
        <v>7</v>
      </c>
      <c r="C296" t="str">
        <f>'Individual Rope Pairs'!B21</f>
        <v>SRPx</v>
      </c>
      <c r="D296" t="str">
        <f>'Individual Rope Pairs'!C21</f>
        <v>9-10</v>
      </c>
      <c r="E296">
        <f>'Individual Rope Pairs'!D21</f>
        <v>0</v>
      </c>
      <c r="F296">
        <f>'Individual Rope Pairs'!F21</f>
        <v>0</v>
      </c>
    </row>
    <row r="297" spans="1:6" x14ac:dyDescent="0.25">
      <c r="A297">
        <f>'Team Info'!$B$3</f>
        <v>0</v>
      </c>
      <c r="B297">
        <f>'Individual Rope Pairs'!A22</f>
        <v>8</v>
      </c>
      <c r="C297" t="str">
        <f>'Individual Rope Pairs'!B22</f>
        <v>SRPx</v>
      </c>
      <c r="D297" t="str">
        <f>'Individual Rope Pairs'!C22</f>
        <v>9-10</v>
      </c>
      <c r="E297">
        <f>'Individual Rope Pairs'!D22</f>
        <v>0</v>
      </c>
      <c r="F297">
        <f>'Individual Rope Pairs'!F22</f>
        <v>0</v>
      </c>
    </row>
    <row r="298" spans="1:6" x14ac:dyDescent="0.25">
      <c r="A298">
        <f>'Team Info'!$B$3</f>
        <v>0</v>
      </c>
      <c r="B298">
        <f>'Individual Rope Pairs'!A25</f>
        <v>1</v>
      </c>
      <c r="C298" t="str">
        <f>'Individual Rope Pairs'!B25</f>
        <v>SRPx</v>
      </c>
      <c r="D298" t="str">
        <f>'Individual Rope Pairs'!C25</f>
        <v>11-12</v>
      </c>
      <c r="E298">
        <f>'Individual Rope Pairs'!D25</f>
        <v>0</v>
      </c>
      <c r="F298">
        <f>'Individual Rope Pairs'!F25</f>
        <v>0</v>
      </c>
    </row>
    <row r="299" spans="1:6" x14ac:dyDescent="0.25">
      <c r="A299">
        <f>'Team Info'!$B$3</f>
        <v>0</v>
      </c>
      <c r="B299">
        <f>'Individual Rope Pairs'!A26</f>
        <v>2</v>
      </c>
      <c r="C299" t="str">
        <f>'Individual Rope Pairs'!B26</f>
        <v>SRPx</v>
      </c>
      <c r="D299" t="str">
        <f>'Individual Rope Pairs'!C26</f>
        <v>11-12</v>
      </c>
      <c r="E299">
        <f>'Individual Rope Pairs'!D26</f>
        <v>0</v>
      </c>
      <c r="F299">
        <f>'Individual Rope Pairs'!F26</f>
        <v>0</v>
      </c>
    </row>
    <row r="300" spans="1:6" x14ac:dyDescent="0.25">
      <c r="A300">
        <f>'Team Info'!$B$3</f>
        <v>0</v>
      </c>
      <c r="B300">
        <f>'Individual Rope Pairs'!A27</f>
        <v>3</v>
      </c>
      <c r="C300" t="str">
        <f>'Individual Rope Pairs'!B27</f>
        <v>SRPx</v>
      </c>
      <c r="D300" t="str">
        <f>'Individual Rope Pairs'!C27</f>
        <v>11-12</v>
      </c>
      <c r="E300">
        <f>'Individual Rope Pairs'!D27</f>
        <v>0</v>
      </c>
      <c r="F300">
        <f>'Individual Rope Pairs'!F27</f>
        <v>0</v>
      </c>
    </row>
    <row r="301" spans="1:6" x14ac:dyDescent="0.25">
      <c r="A301">
        <f>'Team Info'!$B$3</f>
        <v>0</v>
      </c>
      <c r="B301">
        <f>'Individual Rope Pairs'!A28</f>
        <v>4</v>
      </c>
      <c r="C301" t="str">
        <f>'Individual Rope Pairs'!B28</f>
        <v>SRPx</v>
      </c>
      <c r="D301" t="str">
        <f>'Individual Rope Pairs'!C28</f>
        <v>11-12</v>
      </c>
      <c r="E301">
        <f>'Individual Rope Pairs'!D28</f>
        <v>0</v>
      </c>
      <c r="F301">
        <f>'Individual Rope Pairs'!F28</f>
        <v>0</v>
      </c>
    </row>
    <row r="302" spans="1:6" x14ac:dyDescent="0.25">
      <c r="A302">
        <f>'Team Info'!$B$3</f>
        <v>0</v>
      </c>
      <c r="B302">
        <f>'Individual Rope Pairs'!A29</f>
        <v>5</v>
      </c>
      <c r="C302" t="str">
        <f>'Individual Rope Pairs'!B29</f>
        <v>SRPx</v>
      </c>
      <c r="D302" t="str">
        <f>'Individual Rope Pairs'!C29</f>
        <v>11-12</v>
      </c>
      <c r="E302">
        <f>'Individual Rope Pairs'!D29</f>
        <v>0</v>
      </c>
      <c r="F302">
        <f>'Individual Rope Pairs'!F29</f>
        <v>0</v>
      </c>
    </row>
    <row r="303" spans="1:6" x14ac:dyDescent="0.25">
      <c r="A303">
        <f>'Team Info'!$B$3</f>
        <v>0</v>
      </c>
      <c r="B303">
        <f>'Individual Rope Pairs'!A30</f>
        <v>6</v>
      </c>
      <c r="C303" t="str">
        <f>'Individual Rope Pairs'!B30</f>
        <v>SRPx</v>
      </c>
      <c r="D303" t="str">
        <f>'Individual Rope Pairs'!C30</f>
        <v>11-12</v>
      </c>
      <c r="E303">
        <f>'Individual Rope Pairs'!D30</f>
        <v>0</v>
      </c>
      <c r="F303">
        <f>'Individual Rope Pairs'!F30</f>
        <v>0</v>
      </c>
    </row>
    <row r="304" spans="1:6" x14ac:dyDescent="0.25">
      <c r="A304">
        <f>'Team Info'!$B$3</f>
        <v>0</v>
      </c>
      <c r="B304">
        <f>'Individual Rope Pairs'!A31</f>
        <v>7</v>
      </c>
      <c r="C304" t="str">
        <f>'Individual Rope Pairs'!B31</f>
        <v>SRPx</v>
      </c>
      <c r="D304" t="str">
        <f>'Individual Rope Pairs'!C31</f>
        <v>11-12</v>
      </c>
      <c r="E304">
        <f>'Individual Rope Pairs'!D31</f>
        <v>0</v>
      </c>
      <c r="F304">
        <f>'Individual Rope Pairs'!F31</f>
        <v>0</v>
      </c>
    </row>
    <row r="305" spans="1:6" x14ac:dyDescent="0.25">
      <c r="A305">
        <f>'Team Info'!$B$3</f>
        <v>0</v>
      </c>
      <c r="B305">
        <f>'Individual Rope Pairs'!A32</f>
        <v>8</v>
      </c>
      <c r="C305" t="str">
        <f>'Individual Rope Pairs'!B32</f>
        <v>SRPx</v>
      </c>
      <c r="D305" t="str">
        <f>'Individual Rope Pairs'!C32</f>
        <v>11-12</v>
      </c>
      <c r="E305">
        <f>'Individual Rope Pairs'!D32</f>
        <v>0</v>
      </c>
      <c r="F305">
        <f>'Individual Rope Pairs'!F32</f>
        <v>0</v>
      </c>
    </row>
    <row r="306" spans="1:6" x14ac:dyDescent="0.25">
      <c r="A306">
        <f>'Team Info'!$B$3</f>
        <v>0</v>
      </c>
      <c r="B306">
        <f>'Individual Rope Pairs'!A35</f>
        <v>1</v>
      </c>
      <c r="C306" t="str">
        <f>'Individual Rope Pairs'!B35</f>
        <v>SRPx</v>
      </c>
      <c r="D306" t="str">
        <f>'Individual Rope Pairs'!C35</f>
        <v>13-14</v>
      </c>
      <c r="E306">
        <f>'Individual Rope Pairs'!D35</f>
        <v>0</v>
      </c>
      <c r="F306">
        <f>'Individual Rope Pairs'!F35</f>
        <v>0</v>
      </c>
    </row>
    <row r="307" spans="1:6" x14ac:dyDescent="0.25">
      <c r="A307">
        <f>'Team Info'!$B$3</f>
        <v>0</v>
      </c>
      <c r="B307">
        <f>'Individual Rope Pairs'!A36</f>
        <v>2</v>
      </c>
      <c r="C307" t="str">
        <f>'Individual Rope Pairs'!B36</f>
        <v>SRPx</v>
      </c>
      <c r="D307" t="str">
        <f>'Individual Rope Pairs'!C36</f>
        <v>13-14</v>
      </c>
      <c r="E307">
        <f>'Individual Rope Pairs'!D36</f>
        <v>0</v>
      </c>
      <c r="F307">
        <f>'Individual Rope Pairs'!F36</f>
        <v>0</v>
      </c>
    </row>
    <row r="308" spans="1:6" x14ac:dyDescent="0.25">
      <c r="A308">
        <f>'Team Info'!$B$3</f>
        <v>0</v>
      </c>
      <c r="B308">
        <f>'Individual Rope Pairs'!A37</f>
        <v>3</v>
      </c>
      <c r="C308" t="str">
        <f>'Individual Rope Pairs'!B37</f>
        <v>SRPx</v>
      </c>
      <c r="D308" t="str">
        <f>'Individual Rope Pairs'!C37</f>
        <v>13-14</v>
      </c>
      <c r="E308">
        <f>'Individual Rope Pairs'!D37</f>
        <v>0</v>
      </c>
      <c r="F308">
        <f>'Individual Rope Pairs'!F37</f>
        <v>0</v>
      </c>
    </row>
    <row r="309" spans="1:6" x14ac:dyDescent="0.25">
      <c r="A309">
        <f>'Team Info'!$B$3</f>
        <v>0</v>
      </c>
      <c r="B309">
        <f>'Individual Rope Pairs'!A38</f>
        <v>4</v>
      </c>
      <c r="C309" t="str">
        <f>'Individual Rope Pairs'!B38</f>
        <v>SRPx</v>
      </c>
      <c r="D309" t="str">
        <f>'Individual Rope Pairs'!C38</f>
        <v>13-14</v>
      </c>
      <c r="E309">
        <f>'Individual Rope Pairs'!D38</f>
        <v>0</v>
      </c>
      <c r="F309">
        <f>'Individual Rope Pairs'!F38</f>
        <v>0</v>
      </c>
    </row>
    <row r="310" spans="1:6" x14ac:dyDescent="0.25">
      <c r="A310">
        <f>'Team Info'!$B$3</f>
        <v>0</v>
      </c>
      <c r="B310">
        <f>'Individual Rope Pairs'!A39</f>
        <v>5</v>
      </c>
      <c r="C310" t="str">
        <f>'Individual Rope Pairs'!B39</f>
        <v>SRPx</v>
      </c>
      <c r="D310" t="str">
        <f>'Individual Rope Pairs'!C39</f>
        <v>13-14</v>
      </c>
      <c r="E310">
        <f>'Individual Rope Pairs'!D39</f>
        <v>0</v>
      </c>
      <c r="F310">
        <f>'Individual Rope Pairs'!F39</f>
        <v>0</v>
      </c>
    </row>
    <row r="311" spans="1:6" x14ac:dyDescent="0.25">
      <c r="A311">
        <f>'Team Info'!$B$3</f>
        <v>0</v>
      </c>
      <c r="B311">
        <f>'Individual Rope Pairs'!A40</f>
        <v>6</v>
      </c>
      <c r="C311" t="str">
        <f>'Individual Rope Pairs'!B40</f>
        <v>SRPx</v>
      </c>
      <c r="D311" t="str">
        <f>'Individual Rope Pairs'!C40</f>
        <v>13-14</v>
      </c>
      <c r="E311">
        <f>'Individual Rope Pairs'!D40</f>
        <v>0</v>
      </c>
      <c r="F311">
        <f>'Individual Rope Pairs'!F40</f>
        <v>0</v>
      </c>
    </row>
    <row r="312" spans="1:6" x14ac:dyDescent="0.25">
      <c r="A312">
        <f>'Team Info'!$B$3</f>
        <v>0</v>
      </c>
      <c r="B312">
        <f>'Individual Rope Pairs'!A41</f>
        <v>7</v>
      </c>
      <c r="C312" t="str">
        <f>'Individual Rope Pairs'!B41</f>
        <v>SRPx</v>
      </c>
      <c r="D312" t="str">
        <f>'Individual Rope Pairs'!C41</f>
        <v>13-14</v>
      </c>
      <c r="E312">
        <f>'Individual Rope Pairs'!D41</f>
        <v>0</v>
      </c>
      <c r="F312">
        <f>'Individual Rope Pairs'!F41</f>
        <v>0</v>
      </c>
    </row>
    <row r="313" spans="1:6" x14ac:dyDescent="0.25">
      <c r="A313">
        <f>'Team Info'!$B$3</f>
        <v>0</v>
      </c>
      <c r="B313">
        <f>'Individual Rope Pairs'!A42</f>
        <v>8</v>
      </c>
      <c r="C313" t="str">
        <f>'Individual Rope Pairs'!B42</f>
        <v>SRPx</v>
      </c>
      <c r="D313" t="str">
        <f>'Individual Rope Pairs'!C42</f>
        <v>13-14</v>
      </c>
      <c r="E313">
        <f>'Individual Rope Pairs'!D42</f>
        <v>0</v>
      </c>
      <c r="F313">
        <f>'Individual Rope Pairs'!F42</f>
        <v>0</v>
      </c>
    </row>
    <row r="314" spans="1:6" x14ac:dyDescent="0.25">
      <c r="A314">
        <f>'Team Info'!$B$3</f>
        <v>0</v>
      </c>
      <c r="B314">
        <f>'Individual Rope Pairs'!A45</f>
        <v>1</v>
      </c>
      <c r="C314" t="str">
        <f>'Individual Rope Pairs'!B45</f>
        <v>SRPx</v>
      </c>
      <c r="D314" t="str">
        <f>'Individual Rope Pairs'!C45</f>
        <v>15-17</v>
      </c>
      <c r="E314">
        <f>'Individual Rope Pairs'!D45</f>
        <v>0</v>
      </c>
      <c r="F314">
        <f>'Individual Rope Pairs'!F45</f>
        <v>0</v>
      </c>
    </row>
    <row r="315" spans="1:6" x14ac:dyDescent="0.25">
      <c r="A315">
        <f>'Team Info'!$B$3</f>
        <v>0</v>
      </c>
      <c r="B315">
        <f>'Individual Rope Pairs'!A46</f>
        <v>2</v>
      </c>
      <c r="C315" t="str">
        <f>'Individual Rope Pairs'!B46</f>
        <v>SRPx</v>
      </c>
      <c r="D315" t="str">
        <f>'Individual Rope Pairs'!C46</f>
        <v>15-17</v>
      </c>
      <c r="E315">
        <f>'Individual Rope Pairs'!D46</f>
        <v>0</v>
      </c>
      <c r="F315">
        <f>'Individual Rope Pairs'!F46</f>
        <v>0</v>
      </c>
    </row>
    <row r="316" spans="1:6" x14ac:dyDescent="0.25">
      <c r="A316">
        <f>'Team Info'!$B$3</f>
        <v>0</v>
      </c>
      <c r="B316">
        <f>'Individual Rope Pairs'!A47</f>
        <v>3</v>
      </c>
      <c r="C316" t="str">
        <f>'Individual Rope Pairs'!B47</f>
        <v>SRPx</v>
      </c>
      <c r="D316" t="str">
        <f>'Individual Rope Pairs'!C47</f>
        <v>15-17</v>
      </c>
      <c r="E316">
        <f>'Individual Rope Pairs'!D47</f>
        <v>0</v>
      </c>
      <c r="F316">
        <f>'Individual Rope Pairs'!F47</f>
        <v>0</v>
      </c>
    </row>
    <row r="317" spans="1:6" x14ac:dyDescent="0.25">
      <c r="A317">
        <f>'Team Info'!$B$3</f>
        <v>0</v>
      </c>
      <c r="B317">
        <f>'Individual Rope Pairs'!A48</f>
        <v>4</v>
      </c>
      <c r="C317" t="str">
        <f>'Individual Rope Pairs'!B48</f>
        <v>SRPx</v>
      </c>
      <c r="D317" t="str">
        <f>'Individual Rope Pairs'!C48</f>
        <v>15-17</v>
      </c>
      <c r="E317">
        <f>'Individual Rope Pairs'!D48</f>
        <v>0</v>
      </c>
      <c r="F317">
        <f>'Individual Rope Pairs'!F48</f>
        <v>0</v>
      </c>
    </row>
    <row r="318" spans="1:6" x14ac:dyDescent="0.25">
      <c r="A318">
        <f>'Team Info'!$B$3</f>
        <v>0</v>
      </c>
      <c r="B318">
        <f>'Individual Rope Pairs'!A49</f>
        <v>5</v>
      </c>
      <c r="C318" t="str">
        <f>'Individual Rope Pairs'!B49</f>
        <v>SRPx</v>
      </c>
      <c r="D318" t="str">
        <f>'Individual Rope Pairs'!C49</f>
        <v>15-17</v>
      </c>
      <c r="E318">
        <f>'Individual Rope Pairs'!D49</f>
        <v>0</v>
      </c>
      <c r="F318">
        <f>'Individual Rope Pairs'!F49</f>
        <v>0</v>
      </c>
    </row>
    <row r="319" spans="1:6" x14ac:dyDescent="0.25">
      <c r="A319">
        <f>'Team Info'!$B$3</f>
        <v>0</v>
      </c>
      <c r="B319">
        <f>'Individual Rope Pairs'!A50</f>
        <v>6</v>
      </c>
      <c r="C319" t="str">
        <f>'Individual Rope Pairs'!B50</f>
        <v>SRPx</v>
      </c>
      <c r="D319" t="str">
        <f>'Individual Rope Pairs'!C50</f>
        <v>15-17</v>
      </c>
      <c r="E319">
        <f>'Individual Rope Pairs'!D50</f>
        <v>0</v>
      </c>
      <c r="F319">
        <f>'Individual Rope Pairs'!F50</f>
        <v>0</v>
      </c>
    </row>
    <row r="320" spans="1:6" x14ac:dyDescent="0.25">
      <c r="A320">
        <f>'Team Info'!$B$3</f>
        <v>0</v>
      </c>
      <c r="B320">
        <f>'Individual Rope Pairs'!A51</f>
        <v>7</v>
      </c>
      <c r="C320" t="str">
        <f>'Individual Rope Pairs'!B51</f>
        <v>SRPx</v>
      </c>
      <c r="D320" t="str">
        <f>'Individual Rope Pairs'!C51</f>
        <v>15-17</v>
      </c>
      <c r="E320">
        <f>'Individual Rope Pairs'!D51</f>
        <v>0</v>
      </c>
      <c r="F320">
        <f>'Individual Rope Pairs'!F51</f>
        <v>0</v>
      </c>
    </row>
    <row r="321" spans="1:7" x14ac:dyDescent="0.25">
      <c r="A321">
        <f>'Team Info'!$B$3</f>
        <v>0</v>
      </c>
      <c r="B321">
        <f>'Individual Rope Pairs'!A52</f>
        <v>8</v>
      </c>
      <c r="C321" t="str">
        <f>'Individual Rope Pairs'!B52</f>
        <v>SRPx</v>
      </c>
      <c r="D321" t="str">
        <f>'Individual Rope Pairs'!C52</f>
        <v>15-17</v>
      </c>
      <c r="E321">
        <f>'Individual Rope Pairs'!D52</f>
        <v>0</v>
      </c>
      <c r="F321">
        <f>'Individual Rope Pairs'!F52</f>
        <v>0</v>
      </c>
    </row>
    <row r="322" spans="1:7" x14ac:dyDescent="0.25">
      <c r="A322">
        <f>'Team Info'!$B$3</f>
        <v>0</v>
      </c>
      <c r="B322">
        <f>'Individual Rope Pairs'!A53</f>
        <v>9</v>
      </c>
      <c r="C322" t="str">
        <f>'Individual Rope Pairs'!B53</f>
        <v>SRPx</v>
      </c>
      <c r="D322" t="str">
        <f>'Individual Rope Pairs'!C53</f>
        <v>15-17</v>
      </c>
      <c r="E322">
        <f>'Individual Rope Pairs'!D53</f>
        <v>0</v>
      </c>
      <c r="F322">
        <f>'Individual Rope Pairs'!F53</f>
        <v>0</v>
      </c>
    </row>
    <row r="323" spans="1:7" x14ac:dyDescent="0.25">
      <c r="A323">
        <f>'Team Info'!$B$3</f>
        <v>0</v>
      </c>
      <c r="B323">
        <f>'Individual Rope Pairs'!A54</f>
        <v>10</v>
      </c>
      <c r="C323" t="str">
        <f>'Individual Rope Pairs'!B54</f>
        <v>SRPx</v>
      </c>
      <c r="D323" t="str">
        <f>'Individual Rope Pairs'!C54</f>
        <v>15-17</v>
      </c>
      <c r="E323">
        <f>'Individual Rope Pairs'!D54</f>
        <v>0</v>
      </c>
      <c r="F323">
        <f>'Individual Rope Pairs'!F54</f>
        <v>0</v>
      </c>
    </row>
    <row r="324" spans="1:7" x14ac:dyDescent="0.25">
      <c r="A324">
        <f>'Team Info'!$B$3</f>
        <v>0</v>
      </c>
      <c r="B324">
        <f>'Individual Rope Pairs'!A57</f>
        <v>1</v>
      </c>
      <c r="C324" t="str">
        <f>'Individual Rope Pairs'!B57</f>
        <v>SRPx</v>
      </c>
      <c r="D324" t="str">
        <f>'Individual Rope Pairs'!C57</f>
        <v>18-22</v>
      </c>
      <c r="E324">
        <f>'Individual Rope Pairs'!D57</f>
        <v>0</v>
      </c>
      <c r="F324">
        <f>'Individual Rope Pairs'!F57</f>
        <v>0</v>
      </c>
    </row>
    <row r="325" spans="1:7" x14ac:dyDescent="0.25">
      <c r="A325">
        <f>'Team Info'!$B$3</f>
        <v>0</v>
      </c>
      <c r="B325">
        <f>'Individual Rope Pairs'!A58</f>
        <v>2</v>
      </c>
      <c r="C325" t="str">
        <f>'Individual Rope Pairs'!B58</f>
        <v>SRPx</v>
      </c>
      <c r="D325" t="str">
        <f>'Individual Rope Pairs'!C58</f>
        <v>18-22</v>
      </c>
      <c r="E325">
        <f>'Individual Rope Pairs'!D58</f>
        <v>0</v>
      </c>
      <c r="F325">
        <f>'Individual Rope Pairs'!F58</f>
        <v>0</v>
      </c>
    </row>
    <row r="326" spans="1:7" x14ac:dyDescent="0.25">
      <c r="A326">
        <f>'Team Info'!$B$3</f>
        <v>0</v>
      </c>
      <c r="B326">
        <f>'Individual Rope Pairs'!A59</f>
        <v>3</v>
      </c>
      <c r="C326" t="str">
        <f>'Individual Rope Pairs'!B59</f>
        <v>SRPx</v>
      </c>
      <c r="D326" t="str">
        <f>'Individual Rope Pairs'!C59</f>
        <v>18-22</v>
      </c>
      <c r="E326">
        <f>'Individual Rope Pairs'!D59</f>
        <v>0</v>
      </c>
      <c r="F326">
        <f>'Individual Rope Pairs'!F59</f>
        <v>0</v>
      </c>
    </row>
    <row r="327" spans="1:7" x14ac:dyDescent="0.25">
      <c r="A327">
        <f>'Team Info'!$B$3</f>
        <v>0</v>
      </c>
      <c r="B327">
        <f>'Individual Rope Pairs'!A60</f>
        <v>4</v>
      </c>
      <c r="C327" t="str">
        <f>'Individual Rope Pairs'!B60</f>
        <v>SRPx</v>
      </c>
      <c r="D327" t="str">
        <f>'Individual Rope Pairs'!C60</f>
        <v>18-22</v>
      </c>
      <c r="E327">
        <f>'Individual Rope Pairs'!D60</f>
        <v>0</v>
      </c>
      <c r="F327">
        <f>'Individual Rope Pairs'!F60</f>
        <v>0</v>
      </c>
    </row>
    <row r="328" spans="1:7" x14ac:dyDescent="0.25">
      <c r="A328">
        <f>'Team Info'!$B$3</f>
        <v>0</v>
      </c>
      <c r="B328">
        <f>'Individual Rope Pairs'!A61</f>
        <v>5</v>
      </c>
      <c r="C328" t="str">
        <f>'Individual Rope Pairs'!B61</f>
        <v>SRPx</v>
      </c>
      <c r="D328" t="str">
        <f>'Individual Rope Pairs'!C61</f>
        <v>18-22</v>
      </c>
      <c r="E328">
        <f>'Individual Rope Pairs'!D61</f>
        <v>0</v>
      </c>
      <c r="F328">
        <f>'Individual Rope Pairs'!F61</f>
        <v>0</v>
      </c>
    </row>
    <row r="329" spans="1:7" x14ac:dyDescent="0.25">
      <c r="A329">
        <f>'Team Info'!$B$3</f>
        <v>0</v>
      </c>
      <c r="B329">
        <f>'Individual Rope Pairs'!A62</f>
        <v>6</v>
      </c>
      <c r="C329" t="str">
        <f>'Individual Rope Pairs'!B62</f>
        <v>SRPx</v>
      </c>
      <c r="D329" t="str">
        <f>'Individual Rope Pairs'!C62</f>
        <v>18-22</v>
      </c>
      <c r="E329">
        <f>'Individual Rope Pairs'!D62</f>
        <v>0</v>
      </c>
      <c r="F329">
        <f>'Individual Rope Pairs'!F62</f>
        <v>0</v>
      </c>
    </row>
    <row r="330" spans="1:7" x14ac:dyDescent="0.25">
      <c r="A330">
        <f>'Team Info'!$B$3</f>
        <v>0</v>
      </c>
      <c r="B330">
        <f>'Individual Rope Pairs'!A63</f>
        <v>7</v>
      </c>
      <c r="C330" t="str">
        <f>'Individual Rope Pairs'!B63</f>
        <v>SRPx</v>
      </c>
      <c r="D330" t="str">
        <f>'Individual Rope Pairs'!C63</f>
        <v>18-22</v>
      </c>
      <c r="E330">
        <f>'Individual Rope Pairs'!D63</f>
        <v>0</v>
      </c>
      <c r="F330">
        <f>'Individual Rope Pairs'!F63</f>
        <v>0</v>
      </c>
    </row>
    <row r="331" spans="1:7" x14ac:dyDescent="0.25">
      <c r="A331">
        <f>'Team Info'!$B$3</f>
        <v>0</v>
      </c>
      <c r="B331">
        <f>'Individual Rope Pairs'!A64</f>
        <v>8</v>
      </c>
      <c r="C331" t="str">
        <f>'Individual Rope Pairs'!B64</f>
        <v>SRPx</v>
      </c>
      <c r="D331" t="str">
        <f>'Individual Rope Pairs'!C64</f>
        <v>18-22</v>
      </c>
      <c r="E331">
        <f>'Individual Rope Pairs'!D64</f>
        <v>0</v>
      </c>
      <c r="F331">
        <f>'Individual Rope Pairs'!F64</f>
        <v>0</v>
      </c>
    </row>
    <row r="332" spans="1:7" x14ac:dyDescent="0.25">
      <c r="A332">
        <f>'Team Info'!$B$3</f>
        <v>0</v>
      </c>
      <c r="B332">
        <f>'3 Person Double Dutch'!A5</f>
        <v>1</v>
      </c>
      <c r="C332" t="str">
        <f>'3 Person Double Dutch'!B5</f>
        <v>3PDD</v>
      </c>
      <c r="D332" t="str">
        <f>'3 Person Double Dutch'!C5</f>
        <v>12-Under</v>
      </c>
      <c r="E332">
        <f>'3 Person Double Dutch'!D5</f>
        <v>0</v>
      </c>
      <c r="F332">
        <f>'3 Person Double Dutch'!F5</f>
        <v>0</v>
      </c>
      <c r="G332">
        <f>'3 Person Double Dutch'!H5</f>
        <v>0</v>
      </c>
    </row>
    <row r="333" spans="1:7" x14ac:dyDescent="0.25">
      <c r="A333">
        <f>'Team Info'!$B$3</f>
        <v>0</v>
      </c>
      <c r="B333">
        <f>'3 Person Double Dutch'!A6</f>
        <v>2</v>
      </c>
      <c r="C333" t="str">
        <f>'3 Person Double Dutch'!B6</f>
        <v>3PDD</v>
      </c>
      <c r="D333" t="str">
        <f>'3 Person Double Dutch'!C6</f>
        <v>12-Under</v>
      </c>
      <c r="E333">
        <f>'3 Person Double Dutch'!D6</f>
        <v>0</v>
      </c>
      <c r="F333">
        <f>'3 Person Double Dutch'!F6</f>
        <v>0</v>
      </c>
      <c r="G333">
        <f>'3 Person Double Dutch'!H6</f>
        <v>0</v>
      </c>
    </row>
    <row r="334" spans="1:7" x14ac:dyDescent="0.25">
      <c r="A334">
        <f>'Team Info'!$B$3</f>
        <v>0</v>
      </c>
      <c r="B334">
        <f>'3 Person Double Dutch'!A7</f>
        <v>3</v>
      </c>
      <c r="C334" t="str">
        <f>'3 Person Double Dutch'!B7</f>
        <v>3PDD</v>
      </c>
      <c r="D334" t="str">
        <f>'3 Person Double Dutch'!C7</f>
        <v>12-Under</v>
      </c>
      <c r="E334">
        <f>'3 Person Double Dutch'!D7</f>
        <v>0</v>
      </c>
      <c r="F334">
        <f>'3 Person Double Dutch'!F7</f>
        <v>0</v>
      </c>
      <c r="G334">
        <f>'3 Person Double Dutch'!H7</f>
        <v>0</v>
      </c>
    </row>
    <row r="335" spans="1:7" x14ac:dyDescent="0.25">
      <c r="A335">
        <f>'Team Info'!$B$3</f>
        <v>0</v>
      </c>
      <c r="B335">
        <f>'3 Person Double Dutch'!A8</f>
        <v>4</v>
      </c>
      <c r="C335" t="str">
        <f>'3 Person Double Dutch'!B8</f>
        <v>3PDD</v>
      </c>
      <c r="D335" t="str">
        <f>'3 Person Double Dutch'!C8</f>
        <v>12-Under</v>
      </c>
      <c r="E335">
        <f>'3 Person Double Dutch'!D8</f>
        <v>0</v>
      </c>
      <c r="F335">
        <f>'3 Person Double Dutch'!F8</f>
        <v>0</v>
      </c>
      <c r="G335">
        <f>'3 Person Double Dutch'!H8</f>
        <v>0</v>
      </c>
    </row>
    <row r="336" spans="1:7" x14ac:dyDescent="0.25">
      <c r="A336">
        <f>'Team Info'!$B$3</f>
        <v>0</v>
      </c>
      <c r="B336">
        <f>'3 Person Double Dutch'!A9</f>
        <v>5</v>
      </c>
      <c r="C336" t="str">
        <f>'3 Person Double Dutch'!B9</f>
        <v>3PDD</v>
      </c>
      <c r="D336" t="str">
        <f>'3 Person Double Dutch'!C9</f>
        <v>12-Under</v>
      </c>
      <c r="E336">
        <f>'3 Person Double Dutch'!D9</f>
        <v>0</v>
      </c>
      <c r="F336">
        <f>'3 Person Double Dutch'!F9</f>
        <v>0</v>
      </c>
      <c r="G336">
        <f>'3 Person Double Dutch'!H9</f>
        <v>0</v>
      </c>
    </row>
    <row r="337" spans="1:7" x14ac:dyDescent="0.25">
      <c r="A337">
        <f>'Team Info'!$B$3</f>
        <v>0</v>
      </c>
      <c r="B337">
        <f>'3 Person Double Dutch'!A10</f>
        <v>6</v>
      </c>
      <c r="C337" t="str">
        <f>'3 Person Double Dutch'!B10</f>
        <v>3PDD</v>
      </c>
      <c r="D337" t="str">
        <f>'3 Person Double Dutch'!C10</f>
        <v>12-Under</v>
      </c>
      <c r="E337">
        <f>'3 Person Double Dutch'!D10</f>
        <v>0</v>
      </c>
      <c r="F337">
        <f>'3 Person Double Dutch'!F10</f>
        <v>0</v>
      </c>
      <c r="G337">
        <f>'3 Person Double Dutch'!H10</f>
        <v>0</v>
      </c>
    </row>
    <row r="338" spans="1:7" x14ac:dyDescent="0.25">
      <c r="A338">
        <f>'Team Info'!$B$3</f>
        <v>0</v>
      </c>
      <c r="B338">
        <f>'3 Person Double Dutch'!A11</f>
        <v>7</v>
      </c>
      <c r="C338" t="str">
        <f>'3 Person Double Dutch'!B11</f>
        <v>3PDD</v>
      </c>
      <c r="D338" t="str">
        <f>'3 Person Double Dutch'!C11</f>
        <v>12-Under</v>
      </c>
      <c r="E338">
        <f>'3 Person Double Dutch'!D11</f>
        <v>0</v>
      </c>
      <c r="F338">
        <f>'3 Person Double Dutch'!F11</f>
        <v>0</v>
      </c>
      <c r="G338">
        <f>'3 Person Double Dutch'!H11</f>
        <v>0</v>
      </c>
    </row>
    <row r="339" spans="1:7" x14ac:dyDescent="0.25">
      <c r="A339">
        <f>'Team Info'!$B$3</f>
        <v>0</v>
      </c>
      <c r="B339">
        <f>'3 Person Double Dutch'!A12</f>
        <v>8</v>
      </c>
      <c r="C339" t="str">
        <f>'3 Person Double Dutch'!B12</f>
        <v>3PDD</v>
      </c>
      <c r="D339" t="str">
        <f>'3 Person Double Dutch'!C12</f>
        <v>12-Under</v>
      </c>
      <c r="E339">
        <f>'3 Person Double Dutch'!D12</f>
        <v>0</v>
      </c>
      <c r="F339">
        <f>'3 Person Double Dutch'!F12</f>
        <v>0</v>
      </c>
      <c r="G339">
        <f>'3 Person Double Dutch'!H12</f>
        <v>0</v>
      </c>
    </row>
    <row r="340" spans="1:7" x14ac:dyDescent="0.25">
      <c r="A340">
        <f>'Team Info'!$B$3</f>
        <v>0</v>
      </c>
      <c r="B340">
        <f>'3 Person Double Dutch'!A15</f>
        <v>1</v>
      </c>
      <c r="C340" t="str">
        <f>'3 Person Double Dutch'!B15</f>
        <v>3PDD</v>
      </c>
      <c r="D340" t="str">
        <f>'3 Person Double Dutch'!C15</f>
        <v>13-14</v>
      </c>
      <c r="E340">
        <f>'3 Person Double Dutch'!D15</f>
        <v>0</v>
      </c>
      <c r="F340">
        <f>'3 Person Double Dutch'!F15</f>
        <v>0</v>
      </c>
      <c r="G340">
        <f>'3 Person Double Dutch'!H15</f>
        <v>0</v>
      </c>
    </row>
    <row r="341" spans="1:7" x14ac:dyDescent="0.25">
      <c r="A341">
        <f>'Team Info'!$B$3</f>
        <v>0</v>
      </c>
      <c r="B341">
        <f>'3 Person Double Dutch'!A16</f>
        <v>2</v>
      </c>
      <c r="C341" t="str">
        <f>'3 Person Double Dutch'!B16</f>
        <v>3PDD</v>
      </c>
      <c r="D341" t="str">
        <f>'3 Person Double Dutch'!C16</f>
        <v>13-14</v>
      </c>
      <c r="E341">
        <f>'3 Person Double Dutch'!D16</f>
        <v>0</v>
      </c>
      <c r="F341">
        <f>'3 Person Double Dutch'!F16</f>
        <v>0</v>
      </c>
      <c r="G341">
        <f>'3 Person Double Dutch'!H16</f>
        <v>0</v>
      </c>
    </row>
    <row r="342" spans="1:7" x14ac:dyDescent="0.25">
      <c r="A342">
        <f>'Team Info'!$B$3</f>
        <v>0</v>
      </c>
      <c r="B342">
        <f>'3 Person Double Dutch'!A17</f>
        <v>3</v>
      </c>
      <c r="C342" t="str">
        <f>'3 Person Double Dutch'!B17</f>
        <v>3PDD</v>
      </c>
      <c r="D342" t="str">
        <f>'3 Person Double Dutch'!C17</f>
        <v>13-14</v>
      </c>
      <c r="E342">
        <f>'3 Person Double Dutch'!D17</f>
        <v>0</v>
      </c>
      <c r="F342">
        <f>'3 Person Double Dutch'!F17</f>
        <v>0</v>
      </c>
      <c r="G342">
        <f>'3 Person Double Dutch'!H17</f>
        <v>0</v>
      </c>
    </row>
    <row r="343" spans="1:7" x14ac:dyDescent="0.25">
      <c r="A343">
        <f>'Team Info'!$B$3</f>
        <v>0</v>
      </c>
      <c r="B343">
        <f>'3 Person Double Dutch'!A18</f>
        <v>4</v>
      </c>
      <c r="C343" t="str">
        <f>'3 Person Double Dutch'!B18</f>
        <v>3PDD</v>
      </c>
      <c r="D343" t="str">
        <f>'3 Person Double Dutch'!C18</f>
        <v>13-14</v>
      </c>
      <c r="E343">
        <f>'3 Person Double Dutch'!D18</f>
        <v>0</v>
      </c>
      <c r="F343">
        <f>'3 Person Double Dutch'!F18</f>
        <v>0</v>
      </c>
      <c r="G343">
        <f>'3 Person Double Dutch'!H18</f>
        <v>0</v>
      </c>
    </row>
    <row r="344" spans="1:7" x14ac:dyDescent="0.25">
      <c r="A344">
        <f>'Team Info'!$B$3</f>
        <v>0</v>
      </c>
      <c r="B344">
        <f>'3 Person Double Dutch'!A19</f>
        <v>5</v>
      </c>
      <c r="C344" t="str">
        <f>'3 Person Double Dutch'!B19</f>
        <v>3PDD</v>
      </c>
      <c r="D344" t="str">
        <f>'3 Person Double Dutch'!C19</f>
        <v>13-14</v>
      </c>
      <c r="E344">
        <f>'3 Person Double Dutch'!D19</f>
        <v>0</v>
      </c>
      <c r="F344">
        <f>'3 Person Double Dutch'!F19</f>
        <v>0</v>
      </c>
      <c r="G344">
        <f>'3 Person Double Dutch'!H19</f>
        <v>0</v>
      </c>
    </row>
    <row r="345" spans="1:7" x14ac:dyDescent="0.25">
      <c r="A345">
        <f>'Team Info'!$B$3</f>
        <v>0</v>
      </c>
      <c r="B345">
        <f>'3 Person Double Dutch'!A20</f>
        <v>6</v>
      </c>
      <c r="C345" t="str">
        <f>'3 Person Double Dutch'!B20</f>
        <v>3PDD</v>
      </c>
      <c r="D345" t="str">
        <f>'3 Person Double Dutch'!C20</f>
        <v>13-14</v>
      </c>
      <c r="E345">
        <f>'3 Person Double Dutch'!D20</f>
        <v>0</v>
      </c>
      <c r="F345">
        <f>'3 Person Double Dutch'!F20</f>
        <v>0</v>
      </c>
      <c r="G345">
        <f>'3 Person Double Dutch'!H20</f>
        <v>0</v>
      </c>
    </row>
    <row r="346" spans="1:7" x14ac:dyDescent="0.25">
      <c r="A346">
        <f>'Team Info'!$B$3</f>
        <v>0</v>
      </c>
      <c r="B346">
        <f>'3 Person Double Dutch'!A21</f>
        <v>7</v>
      </c>
      <c r="C346" t="str">
        <f>'3 Person Double Dutch'!B21</f>
        <v>3PDD</v>
      </c>
      <c r="D346" t="str">
        <f>'3 Person Double Dutch'!C21</f>
        <v>13-14</v>
      </c>
      <c r="E346">
        <f>'3 Person Double Dutch'!D21</f>
        <v>0</v>
      </c>
      <c r="F346">
        <f>'3 Person Double Dutch'!F21</f>
        <v>0</v>
      </c>
      <c r="G346">
        <f>'3 Person Double Dutch'!H21</f>
        <v>0</v>
      </c>
    </row>
    <row r="347" spans="1:7" x14ac:dyDescent="0.25">
      <c r="A347">
        <f>'Team Info'!$B$3</f>
        <v>0</v>
      </c>
      <c r="B347">
        <f>'3 Person Double Dutch'!A22</f>
        <v>8</v>
      </c>
      <c r="C347" t="str">
        <f>'3 Person Double Dutch'!B22</f>
        <v>3PDD</v>
      </c>
      <c r="D347" t="str">
        <f>'3 Person Double Dutch'!C22</f>
        <v>13-14</v>
      </c>
      <c r="E347">
        <f>'3 Person Double Dutch'!D22</f>
        <v>0</v>
      </c>
      <c r="F347">
        <f>'3 Person Double Dutch'!F22</f>
        <v>0</v>
      </c>
      <c r="G347">
        <f>'3 Person Double Dutch'!H22</f>
        <v>0</v>
      </c>
    </row>
    <row r="348" spans="1:7" x14ac:dyDescent="0.25">
      <c r="A348">
        <f>'Team Info'!$B$3</f>
        <v>0</v>
      </c>
      <c r="B348">
        <f>'3 Person Double Dutch'!A25</f>
        <v>1</v>
      </c>
      <c r="C348" t="str">
        <f>'3 Person Double Dutch'!B25</f>
        <v>3PDD</v>
      </c>
      <c r="D348" t="str">
        <f>'3 Person Double Dutch'!C25</f>
        <v>15-17</v>
      </c>
      <c r="E348">
        <f>'3 Person Double Dutch'!D25</f>
        <v>0</v>
      </c>
      <c r="F348">
        <f>'3 Person Double Dutch'!F25</f>
        <v>0</v>
      </c>
      <c r="G348">
        <f>'3 Person Double Dutch'!H25</f>
        <v>0</v>
      </c>
    </row>
    <row r="349" spans="1:7" x14ac:dyDescent="0.25">
      <c r="A349">
        <f>'Team Info'!$B$3</f>
        <v>0</v>
      </c>
      <c r="B349">
        <f>'3 Person Double Dutch'!A26</f>
        <v>2</v>
      </c>
      <c r="C349" t="str">
        <f>'3 Person Double Dutch'!B26</f>
        <v>3PDD</v>
      </c>
      <c r="D349" t="str">
        <f>'3 Person Double Dutch'!C26</f>
        <v>15-17</v>
      </c>
      <c r="E349">
        <f>'3 Person Double Dutch'!D26</f>
        <v>0</v>
      </c>
      <c r="F349">
        <f>'3 Person Double Dutch'!F26</f>
        <v>0</v>
      </c>
      <c r="G349">
        <f>'3 Person Double Dutch'!H26</f>
        <v>0</v>
      </c>
    </row>
    <row r="350" spans="1:7" x14ac:dyDescent="0.25">
      <c r="A350">
        <f>'Team Info'!$B$3</f>
        <v>0</v>
      </c>
      <c r="B350">
        <f>'3 Person Double Dutch'!A27</f>
        <v>3</v>
      </c>
      <c r="C350" t="str">
        <f>'3 Person Double Dutch'!B27</f>
        <v>3PDD</v>
      </c>
      <c r="D350" t="str">
        <f>'3 Person Double Dutch'!C27</f>
        <v>15-17</v>
      </c>
      <c r="E350">
        <f>'3 Person Double Dutch'!D27</f>
        <v>0</v>
      </c>
      <c r="F350">
        <f>'3 Person Double Dutch'!F27</f>
        <v>0</v>
      </c>
      <c r="G350">
        <f>'3 Person Double Dutch'!H27</f>
        <v>0</v>
      </c>
    </row>
    <row r="351" spans="1:7" x14ac:dyDescent="0.25">
      <c r="A351">
        <f>'Team Info'!$B$3</f>
        <v>0</v>
      </c>
      <c r="B351">
        <f>'3 Person Double Dutch'!A28</f>
        <v>4</v>
      </c>
      <c r="C351" t="str">
        <f>'3 Person Double Dutch'!B28</f>
        <v>3PDD</v>
      </c>
      <c r="D351" t="str">
        <f>'3 Person Double Dutch'!C28</f>
        <v>15-17</v>
      </c>
      <c r="E351">
        <f>'3 Person Double Dutch'!D28</f>
        <v>0</v>
      </c>
      <c r="F351">
        <f>'3 Person Double Dutch'!F28</f>
        <v>0</v>
      </c>
      <c r="G351">
        <f>'3 Person Double Dutch'!H28</f>
        <v>0</v>
      </c>
    </row>
    <row r="352" spans="1:7" x14ac:dyDescent="0.25">
      <c r="A352">
        <f>'Team Info'!$B$3</f>
        <v>0</v>
      </c>
      <c r="B352">
        <f>'3 Person Double Dutch'!A29</f>
        <v>5</v>
      </c>
      <c r="C352" t="str">
        <f>'3 Person Double Dutch'!B29</f>
        <v>3PDD</v>
      </c>
      <c r="D352" t="str">
        <f>'3 Person Double Dutch'!C29</f>
        <v>15-17</v>
      </c>
      <c r="E352">
        <f>'3 Person Double Dutch'!D29</f>
        <v>0</v>
      </c>
      <c r="F352">
        <f>'3 Person Double Dutch'!F29</f>
        <v>0</v>
      </c>
      <c r="G352">
        <f>'3 Person Double Dutch'!H29</f>
        <v>0</v>
      </c>
    </row>
    <row r="353" spans="1:8" x14ac:dyDescent="0.25">
      <c r="A353">
        <f>'Team Info'!$B$3</f>
        <v>0</v>
      </c>
      <c r="B353">
        <f>'3 Person Double Dutch'!A30</f>
        <v>6</v>
      </c>
      <c r="C353" t="str">
        <f>'3 Person Double Dutch'!B30</f>
        <v>3PDD</v>
      </c>
      <c r="D353" t="str">
        <f>'3 Person Double Dutch'!C30</f>
        <v>15-17</v>
      </c>
      <c r="E353">
        <f>'3 Person Double Dutch'!D30</f>
        <v>0</v>
      </c>
      <c r="F353">
        <f>'3 Person Double Dutch'!F30</f>
        <v>0</v>
      </c>
      <c r="G353">
        <f>'3 Person Double Dutch'!H30</f>
        <v>0</v>
      </c>
    </row>
    <row r="354" spans="1:8" x14ac:dyDescent="0.25">
      <c r="A354">
        <f>'Team Info'!$B$3</f>
        <v>0</v>
      </c>
      <c r="B354">
        <f>'3 Person Double Dutch'!A31</f>
        <v>7</v>
      </c>
      <c r="C354" t="str">
        <f>'3 Person Double Dutch'!B31</f>
        <v>3PDD</v>
      </c>
      <c r="D354" t="str">
        <f>'3 Person Double Dutch'!C31</f>
        <v>15-17</v>
      </c>
      <c r="E354">
        <f>'3 Person Double Dutch'!D31</f>
        <v>0</v>
      </c>
      <c r="F354">
        <f>'3 Person Double Dutch'!F31</f>
        <v>0</v>
      </c>
      <c r="G354">
        <f>'3 Person Double Dutch'!H31</f>
        <v>0</v>
      </c>
    </row>
    <row r="355" spans="1:8" x14ac:dyDescent="0.25">
      <c r="A355">
        <f>'Team Info'!$B$3</f>
        <v>0</v>
      </c>
      <c r="B355">
        <f>'3 Person Double Dutch'!A32</f>
        <v>8</v>
      </c>
      <c r="C355" t="str">
        <f>'3 Person Double Dutch'!B32</f>
        <v>3PDD</v>
      </c>
      <c r="D355" t="str">
        <f>'3 Person Double Dutch'!C32</f>
        <v>15-17</v>
      </c>
      <c r="E355">
        <f>'3 Person Double Dutch'!D32</f>
        <v>0</v>
      </c>
      <c r="F355">
        <f>'3 Person Double Dutch'!F32</f>
        <v>0</v>
      </c>
      <c r="G355">
        <f>'3 Person Double Dutch'!H32</f>
        <v>0</v>
      </c>
    </row>
    <row r="356" spans="1:8" x14ac:dyDescent="0.25">
      <c r="A356">
        <f>'Team Info'!$B$3</f>
        <v>0</v>
      </c>
      <c r="B356">
        <f>'3 Person Double Dutch'!A35</f>
        <v>1</v>
      </c>
      <c r="C356" t="str">
        <f>'3 Person Double Dutch'!B35</f>
        <v>3PDD</v>
      </c>
      <c r="D356" t="str">
        <f>'3 Person Double Dutch'!C35</f>
        <v>18-22</v>
      </c>
      <c r="E356">
        <f>'3 Person Double Dutch'!D35</f>
        <v>0</v>
      </c>
      <c r="F356">
        <f>'3 Person Double Dutch'!F35</f>
        <v>0</v>
      </c>
      <c r="G356">
        <f>'3 Person Double Dutch'!H35</f>
        <v>0</v>
      </c>
    </row>
    <row r="357" spans="1:8" x14ac:dyDescent="0.25">
      <c r="A357">
        <f>'Team Info'!$B$3</f>
        <v>0</v>
      </c>
      <c r="B357">
        <f>'3 Person Double Dutch'!A36</f>
        <v>2</v>
      </c>
      <c r="C357" t="str">
        <f>'3 Person Double Dutch'!B36</f>
        <v>3PDD</v>
      </c>
      <c r="D357" t="str">
        <f>'3 Person Double Dutch'!C36</f>
        <v>18-22</v>
      </c>
      <c r="E357">
        <f>'3 Person Double Dutch'!D36</f>
        <v>0</v>
      </c>
      <c r="F357">
        <f>'3 Person Double Dutch'!F36</f>
        <v>0</v>
      </c>
      <c r="G357">
        <f>'3 Person Double Dutch'!H36</f>
        <v>0</v>
      </c>
    </row>
    <row r="358" spans="1:8" x14ac:dyDescent="0.25">
      <c r="A358">
        <f>'Team Info'!$B$3</f>
        <v>0</v>
      </c>
      <c r="B358">
        <f>'3 Person Double Dutch'!A37</f>
        <v>3</v>
      </c>
      <c r="C358" t="str">
        <f>'3 Person Double Dutch'!B37</f>
        <v>3PDD</v>
      </c>
      <c r="D358" t="str">
        <f>'3 Person Double Dutch'!C37</f>
        <v>18-22</v>
      </c>
      <c r="E358">
        <f>'3 Person Double Dutch'!D37</f>
        <v>0</v>
      </c>
      <c r="F358">
        <f>'3 Person Double Dutch'!F37</f>
        <v>0</v>
      </c>
      <c r="G358">
        <f>'3 Person Double Dutch'!H37</f>
        <v>0</v>
      </c>
    </row>
    <row r="359" spans="1:8" x14ac:dyDescent="0.25">
      <c r="A359">
        <f>'Team Info'!$B$3</f>
        <v>0</v>
      </c>
      <c r="B359">
        <f>'3 Person Double Dutch'!A38</f>
        <v>4</v>
      </c>
      <c r="C359" t="str">
        <f>'3 Person Double Dutch'!B38</f>
        <v>3PDD</v>
      </c>
      <c r="D359" t="str">
        <f>'3 Person Double Dutch'!C38</f>
        <v>18-22</v>
      </c>
      <c r="E359">
        <f>'3 Person Double Dutch'!D38</f>
        <v>0</v>
      </c>
      <c r="F359">
        <f>'3 Person Double Dutch'!F38</f>
        <v>0</v>
      </c>
      <c r="G359">
        <f>'3 Person Double Dutch'!H38</f>
        <v>0</v>
      </c>
    </row>
    <row r="360" spans="1:8" x14ac:dyDescent="0.25">
      <c r="A360">
        <f>'Team Info'!$B$3</f>
        <v>0</v>
      </c>
      <c r="B360">
        <f>'3 Person Double Dutch'!A39</f>
        <v>5</v>
      </c>
      <c r="C360" t="str">
        <f>'3 Person Double Dutch'!B39</f>
        <v>3PDD</v>
      </c>
      <c r="D360" t="str">
        <f>'3 Person Double Dutch'!C39</f>
        <v>18-22</v>
      </c>
      <c r="E360">
        <f>'3 Person Double Dutch'!D39</f>
        <v>0</v>
      </c>
      <c r="F360">
        <f>'3 Person Double Dutch'!F39</f>
        <v>0</v>
      </c>
      <c r="G360">
        <f>'3 Person Double Dutch'!H39</f>
        <v>0</v>
      </c>
    </row>
    <row r="361" spans="1:8" x14ac:dyDescent="0.25">
      <c r="A361">
        <f>'Team Info'!$B$3</f>
        <v>0</v>
      </c>
      <c r="B361">
        <f>'3 Person Double Dutch'!A40</f>
        <v>6</v>
      </c>
      <c r="C361" t="str">
        <f>'3 Person Double Dutch'!B40</f>
        <v>3PDD</v>
      </c>
      <c r="D361" t="str">
        <f>'3 Person Double Dutch'!C40</f>
        <v>18-22</v>
      </c>
      <c r="E361">
        <f>'3 Person Double Dutch'!D40</f>
        <v>0</v>
      </c>
      <c r="F361">
        <f>'3 Person Double Dutch'!F40</f>
        <v>0</v>
      </c>
      <c r="G361">
        <f>'3 Person Double Dutch'!H40</f>
        <v>0</v>
      </c>
    </row>
    <row r="362" spans="1:8" x14ac:dyDescent="0.25">
      <c r="A362">
        <f>'Team Info'!$B$3</f>
        <v>0</v>
      </c>
      <c r="B362">
        <f>'3 Person Double Dutch'!A41</f>
        <v>7</v>
      </c>
      <c r="C362" t="str">
        <f>'3 Person Double Dutch'!B41</f>
        <v>3PDD</v>
      </c>
      <c r="D362" t="str">
        <f>'3 Person Double Dutch'!C41</f>
        <v>18-22</v>
      </c>
      <c r="E362">
        <f>'3 Person Double Dutch'!D41</f>
        <v>0</v>
      </c>
      <c r="F362">
        <f>'3 Person Double Dutch'!F41</f>
        <v>0</v>
      </c>
      <c r="G362">
        <f>'3 Person Double Dutch'!H41</f>
        <v>0</v>
      </c>
    </row>
    <row r="363" spans="1:8" x14ac:dyDescent="0.25">
      <c r="A363">
        <f>'Team Info'!$B$3</f>
        <v>0</v>
      </c>
      <c r="B363">
        <f>'3 Person Double Dutch'!A42</f>
        <v>8</v>
      </c>
      <c r="C363" t="str">
        <f>'3 Person Double Dutch'!B42</f>
        <v>3PDD</v>
      </c>
      <c r="D363" t="str">
        <f>'3 Person Double Dutch'!C42</f>
        <v>18-22</v>
      </c>
      <c r="E363">
        <f>'3 Person Double Dutch'!D42</f>
        <v>0</v>
      </c>
      <c r="F363">
        <f>'3 Person Double Dutch'!F42</f>
        <v>0</v>
      </c>
      <c r="G363">
        <f>'3 Person Double Dutch'!H42</f>
        <v>0</v>
      </c>
    </row>
    <row r="364" spans="1:8" x14ac:dyDescent="0.25">
      <c r="A364">
        <f>'Team Info'!$B$3</f>
        <v>0</v>
      </c>
      <c r="B364">
        <f>'4 Person Double Dutch'!A5</f>
        <v>1</v>
      </c>
      <c r="C364" t="str">
        <f>'4 Person Double Dutch'!B5</f>
        <v>4PDD</v>
      </c>
      <c r="D364" t="str">
        <f>'4 Person Double Dutch'!C5</f>
        <v>12-Under</v>
      </c>
      <c r="E364">
        <f>'4 Person Double Dutch'!D5</f>
        <v>0</v>
      </c>
      <c r="F364">
        <f>'4 Person Double Dutch'!F5</f>
        <v>0</v>
      </c>
      <c r="G364">
        <f>'4 Person Double Dutch'!H5</f>
        <v>0</v>
      </c>
      <c r="H364">
        <f>'4 Person Double Dutch'!J5</f>
        <v>0</v>
      </c>
    </row>
    <row r="365" spans="1:8" x14ac:dyDescent="0.25">
      <c r="A365">
        <f>'Team Info'!$B$3</f>
        <v>0</v>
      </c>
      <c r="B365">
        <f>'4 Person Double Dutch'!A6</f>
        <v>2</v>
      </c>
      <c r="C365" t="str">
        <f>'4 Person Double Dutch'!B6</f>
        <v>4PDD</v>
      </c>
      <c r="D365" t="str">
        <f>'4 Person Double Dutch'!C6</f>
        <v>12-Under</v>
      </c>
      <c r="E365">
        <f>'4 Person Double Dutch'!D6</f>
        <v>0</v>
      </c>
      <c r="F365">
        <f>'4 Person Double Dutch'!F6</f>
        <v>0</v>
      </c>
      <c r="G365">
        <f>'4 Person Double Dutch'!H6</f>
        <v>0</v>
      </c>
      <c r="H365">
        <f>'4 Person Double Dutch'!J6</f>
        <v>0</v>
      </c>
    </row>
    <row r="366" spans="1:8" x14ac:dyDescent="0.25">
      <c r="A366">
        <f>'Team Info'!$B$3</f>
        <v>0</v>
      </c>
      <c r="B366">
        <f>'4 Person Double Dutch'!A7</f>
        <v>3</v>
      </c>
      <c r="C366" t="str">
        <f>'4 Person Double Dutch'!B7</f>
        <v>4PDD</v>
      </c>
      <c r="D366" t="str">
        <f>'4 Person Double Dutch'!C7</f>
        <v>12-Under</v>
      </c>
      <c r="E366">
        <f>'4 Person Double Dutch'!D7</f>
        <v>0</v>
      </c>
      <c r="F366">
        <f>'4 Person Double Dutch'!F7</f>
        <v>0</v>
      </c>
      <c r="G366">
        <f>'4 Person Double Dutch'!H7</f>
        <v>0</v>
      </c>
      <c r="H366">
        <f>'4 Person Double Dutch'!J7</f>
        <v>0</v>
      </c>
    </row>
    <row r="367" spans="1:8" x14ac:dyDescent="0.25">
      <c r="A367">
        <f>'Team Info'!$B$3</f>
        <v>0</v>
      </c>
      <c r="B367">
        <f>'4 Person Double Dutch'!A8</f>
        <v>4</v>
      </c>
      <c r="C367" t="str">
        <f>'4 Person Double Dutch'!B8</f>
        <v>4PDD</v>
      </c>
      <c r="D367" t="str">
        <f>'4 Person Double Dutch'!C8</f>
        <v>12-Under</v>
      </c>
      <c r="E367">
        <f>'4 Person Double Dutch'!D8</f>
        <v>0</v>
      </c>
      <c r="F367">
        <f>'4 Person Double Dutch'!F8</f>
        <v>0</v>
      </c>
      <c r="G367">
        <f>'4 Person Double Dutch'!H8</f>
        <v>0</v>
      </c>
      <c r="H367">
        <f>'4 Person Double Dutch'!J8</f>
        <v>0</v>
      </c>
    </row>
    <row r="368" spans="1:8" x14ac:dyDescent="0.25">
      <c r="A368">
        <f>'Team Info'!$B$3</f>
        <v>0</v>
      </c>
      <c r="B368">
        <f>'4 Person Double Dutch'!A9</f>
        <v>5</v>
      </c>
      <c r="C368" t="str">
        <f>'4 Person Double Dutch'!B9</f>
        <v>4PDD</v>
      </c>
      <c r="D368" t="str">
        <f>'4 Person Double Dutch'!C9</f>
        <v>12-Under</v>
      </c>
      <c r="E368">
        <f>'4 Person Double Dutch'!D9</f>
        <v>0</v>
      </c>
      <c r="F368">
        <f>'4 Person Double Dutch'!F9</f>
        <v>0</v>
      </c>
      <c r="G368">
        <f>'4 Person Double Dutch'!H9</f>
        <v>0</v>
      </c>
      <c r="H368">
        <f>'4 Person Double Dutch'!J9</f>
        <v>0</v>
      </c>
    </row>
    <row r="369" spans="1:8" x14ac:dyDescent="0.25">
      <c r="A369">
        <f>'Team Info'!$B$3</f>
        <v>0</v>
      </c>
      <c r="B369">
        <f>'4 Person Double Dutch'!A10</f>
        <v>6</v>
      </c>
      <c r="C369" t="str">
        <f>'4 Person Double Dutch'!B10</f>
        <v>4PDD</v>
      </c>
      <c r="D369" t="str">
        <f>'4 Person Double Dutch'!C10</f>
        <v>12-Under</v>
      </c>
      <c r="E369">
        <f>'4 Person Double Dutch'!D10</f>
        <v>0</v>
      </c>
      <c r="F369">
        <f>'4 Person Double Dutch'!F10</f>
        <v>0</v>
      </c>
      <c r="G369">
        <f>'4 Person Double Dutch'!H10</f>
        <v>0</v>
      </c>
      <c r="H369">
        <f>'4 Person Double Dutch'!J10</f>
        <v>0</v>
      </c>
    </row>
    <row r="370" spans="1:8" x14ac:dyDescent="0.25">
      <c r="A370">
        <f>'Team Info'!$B$3</f>
        <v>0</v>
      </c>
      <c r="B370">
        <f>'4 Person Double Dutch'!A11</f>
        <v>7</v>
      </c>
      <c r="C370" t="str">
        <f>'4 Person Double Dutch'!B11</f>
        <v>4PDD</v>
      </c>
      <c r="D370" t="str">
        <f>'4 Person Double Dutch'!C11</f>
        <v>12-Under</v>
      </c>
      <c r="E370">
        <f>'4 Person Double Dutch'!D11</f>
        <v>0</v>
      </c>
      <c r="F370">
        <f>'4 Person Double Dutch'!F11</f>
        <v>0</v>
      </c>
      <c r="G370">
        <f>'4 Person Double Dutch'!H11</f>
        <v>0</v>
      </c>
      <c r="H370">
        <f>'4 Person Double Dutch'!J11</f>
        <v>0</v>
      </c>
    </row>
    <row r="371" spans="1:8" x14ac:dyDescent="0.25">
      <c r="A371">
        <f>'Team Info'!$B$3</f>
        <v>0</v>
      </c>
      <c r="B371">
        <f>'4 Person Double Dutch'!A12</f>
        <v>8</v>
      </c>
      <c r="C371" t="str">
        <f>'4 Person Double Dutch'!B12</f>
        <v>4PDD</v>
      </c>
      <c r="D371" t="str">
        <f>'4 Person Double Dutch'!C12</f>
        <v>12-Under</v>
      </c>
      <c r="E371">
        <f>'4 Person Double Dutch'!D12</f>
        <v>0</v>
      </c>
      <c r="F371">
        <f>'4 Person Double Dutch'!F12</f>
        <v>0</v>
      </c>
      <c r="G371">
        <f>'4 Person Double Dutch'!H12</f>
        <v>0</v>
      </c>
      <c r="H371">
        <f>'4 Person Double Dutch'!J12</f>
        <v>0</v>
      </c>
    </row>
    <row r="372" spans="1:8" x14ac:dyDescent="0.25">
      <c r="A372">
        <f>'Team Info'!$B$3</f>
        <v>0</v>
      </c>
      <c r="B372">
        <f>'4 Person Double Dutch'!A15</f>
        <v>1</v>
      </c>
      <c r="C372" t="str">
        <f>'4 Person Double Dutch'!B15</f>
        <v>4PDD</v>
      </c>
      <c r="D372" t="str">
        <f>'4 Person Double Dutch'!C15</f>
        <v>13-14</v>
      </c>
      <c r="E372">
        <f>'4 Person Double Dutch'!D15</f>
        <v>0</v>
      </c>
      <c r="F372">
        <f>'4 Person Double Dutch'!F15</f>
        <v>0</v>
      </c>
      <c r="G372">
        <f>'4 Person Double Dutch'!H15</f>
        <v>0</v>
      </c>
      <c r="H372">
        <f>'4 Person Double Dutch'!J15</f>
        <v>0</v>
      </c>
    </row>
    <row r="373" spans="1:8" x14ac:dyDescent="0.25">
      <c r="A373">
        <f>'Team Info'!$B$3</f>
        <v>0</v>
      </c>
      <c r="B373">
        <f>'4 Person Double Dutch'!A16</f>
        <v>2</v>
      </c>
      <c r="C373" t="str">
        <f>'4 Person Double Dutch'!B16</f>
        <v>4PDD</v>
      </c>
      <c r="D373" t="str">
        <f>'4 Person Double Dutch'!C16</f>
        <v>13-14</v>
      </c>
      <c r="E373">
        <f>'4 Person Double Dutch'!D16</f>
        <v>0</v>
      </c>
      <c r="F373">
        <f>'4 Person Double Dutch'!F16</f>
        <v>0</v>
      </c>
      <c r="G373">
        <f>'4 Person Double Dutch'!H16</f>
        <v>0</v>
      </c>
      <c r="H373">
        <f>'4 Person Double Dutch'!J16</f>
        <v>0</v>
      </c>
    </row>
    <row r="374" spans="1:8" x14ac:dyDescent="0.25">
      <c r="A374">
        <f>'Team Info'!$B$3</f>
        <v>0</v>
      </c>
      <c r="B374">
        <f>'4 Person Double Dutch'!A17</f>
        <v>3</v>
      </c>
      <c r="C374" t="str">
        <f>'4 Person Double Dutch'!B17</f>
        <v>4PDD</v>
      </c>
      <c r="D374" t="str">
        <f>'4 Person Double Dutch'!C17</f>
        <v>13-14</v>
      </c>
      <c r="E374">
        <f>'4 Person Double Dutch'!D17</f>
        <v>0</v>
      </c>
      <c r="F374">
        <f>'4 Person Double Dutch'!F17</f>
        <v>0</v>
      </c>
      <c r="G374">
        <f>'4 Person Double Dutch'!H17</f>
        <v>0</v>
      </c>
      <c r="H374">
        <f>'4 Person Double Dutch'!J17</f>
        <v>0</v>
      </c>
    </row>
    <row r="375" spans="1:8" x14ac:dyDescent="0.25">
      <c r="A375">
        <f>'Team Info'!$B$3</f>
        <v>0</v>
      </c>
      <c r="B375">
        <f>'4 Person Double Dutch'!A18</f>
        <v>4</v>
      </c>
      <c r="C375" t="str">
        <f>'4 Person Double Dutch'!B18</f>
        <v>4PDD</v>
      </c>
      <c r="D375" t="str">
        <f>'4 Person Double Dutch'!C18</f>
        <v>13-14</v>
      </c>
      <c r="E375">
        <f>'4 Person Double Dutch'!D18</f>
        <v>0</v>
      </c>
      <c r="F375">
        <f>'4 Person Double Dutch'!F18</f>
        <v>0</v>
      </c>
      <c r="G375">
        <f>'4 Person Double Dutch'!H18</f>
        <v>0</v>
      </c>
      <c r="H375">
        <f>'4 Person Double Dutch'!J18</f>
        <v>0</v>
      </c>
    </row>
    <row r="376" spans="1:8" x14ac:dyDescent="0.25">
      <c r="A376">
        <f>'Team Info'!$B$3</f>
        <v>0</v>
      </c>
      <c r="B376">
        <f>'4 Person Double Dutch'!A19</f>
        <v>5</v>
      </c>
      <c r="C376" t="str">
        <f>'4 Person Double Dutch'!B19</f>
        <v>4PDD</v>
      </c>
      <c r="D376" t="str">
        <f>'4 Person Double Dutch'!C19</f>
        <v>13-14</v>
      </c>
      <c r="E376">
        <f>'4 Person Double Dutch'!D19</f>
        <v>0</v>
      </c>
      <c r="F376">
        <f>'4 Person Double Dutch'!F19</f>
        <v>0</v>
      </c>
      <c r="G376">
        <f>'4 Person Double Dutch'!H19</f>
        <v>0</v>
      </c>
      <c r="H376">
        <f>'4 Person Double Dutch'!J19</f>
        <v>0</v>
      </c>
    </row>
    <row r="377" spans="1:8" x14ac:dyDescent="0.25">
      <c r="A377">
        <f>'Team Info'!$B$3</f>
        <v>0</v>
      </c>
      <c r="B377">
        <f>'4 Person Double Dutch'!A20</f>
        <v>6</v>
      </c>
      <c r="C377" t="str">
        <f>'4 Person Double Dutch'!B20</f>
        <v>4PDD</v>
      </c>
      <c r="D377" t="str">
        <f>'4 Person Double Dutch'!C20</f>
        <v>13-14</v>
      </c>
      <c r="E377">
        <f>'4 Person Double Dutch'!D20</f>
        <v>0</v>
      </c>
      <c r="F377">
        <f>'4 Person Double Dutch'!F20</f>
        <v>0</v>
      </c>
      <c r="G377">
        <f>'4 Person Double Dutch'!H20</f>
        <v>0</v>
      </c>
      <c r="H377">
        <f>'4 Person Double Dutch'!J20</f>
        <v>0</v>
      </c>
    </row>
    <row r="378" spans="1:8" x14ac:dyDescent="0.25">
      <c r="A378">
        <f>'Team Info'!$B$3</f>
        <v>0</v>
      </c>
      <c r="B378">
        <f>'4 Person Double Dutch'!A21</f>
        <v>7</v>
      </c>
      <c r="C378" t="str">
        <f>'4 Person Double Dutch'!B21</f>
        <v>4PDD</v>
      </c>
      <c r="D378" t="str">
        <f>'4 Person Double Dutch'!C21</f>
        <v>13-14</v>
      </c>
      <c r="E378">
        <f>'4 Person Double Dutch'!D21</f>
        <v>0</v>
      </c>
      <c r="F378">
        <f>'4 Person Double Dutch'!F21</f>
        <v>0</v>
      </c>
      <c r="G378">
        <f>'4 Person Double Dutch'!H21</f>
        <v>0</v>
      </c>
      <c r="H378">
        <f>'4 Person Double Dutch'!J21</f>
        <v>0</v>
      </c>
    </row>
    <row r="379" spans="1:8" x14ac:dyDescent="0.25">
      <c r="A379">
        <f>'Team Info'!$B$3</f>
        <v>0</v>
      </c>
      <c r="B379">
        <f>'4 Person Double Dutch'!A22</f>
        <v>8</v>
      </c>
      <c r="C379" t="str">
        <f>'4 Person Double Dutch'!B22</f>
        <v>4PDD</v>
      </c>
      <c r="D379" t="str">
        <f>'4 Person Double Dutch'!C22</f>
        <v>13-14</v>
      </c>
      <c r="E379">
        <f>'4 Person Double Dutch'!D22</f>
        <v>0</v>
      </c>
      <c r="F379">
        <f>'4 Person Double Dutch'!F22</f>
        <v>0</v>
      </c>
      <c r="G379">
        <f>'4 Person Double Dutch'!H22</f>
        <v>0</v>
      </c>
      <c r="H379">
        <f>'4 Person Double Dutch'!J22</f>
        <v>0</v>
      </c>
    </row>
    <row r="380" spans="1:8" x14ac:dyDescent="0.25">
      <c r="A380">
        <f>'Team Info'!$B$3</f>
        <v>0</v>
      </c>
      <c r="B380">
        <f>'4 Person Double Dutch'!A25</f>
        <v>1</v>
      </c>
      <c r="C380" t="str">
        <f>'4 Person Double Dutch'!B25</f>
        <v>4PDD</v>
      </c>
      <c r="D380" t="str">
        <f>'4 Person Double Dutch'!C25</f>
        <v>15-17</v>
      </c>
      <c r="E380">
        <f>'4 Person Double Dutch'!D25</f>
        <v>0</v>
      </c>
      <c r="F380">
        <f>'4 Person Double Dutch'!F25</f>
        <v>0</v>
      </c>
      <c r="G380">
        <f>'4 Person Double Dutch'!H25</f>
        <v>0</v>
      </c>
      <c r="H380">
        <f>'4 Person Double Dutch'!J25</f>
        <v>0</v>
      </c>
    </row>
    <row r="381" spans="1:8" x14ac:dyDescent="0.25">
      <c r="A381">
        <f>'Team Info'!$B$3</f>
        <v>0</v>
      </c>
      <c r="B381">
        <f>'4 Person Double Dutch'!A26</f>
        <v>2</v>
      </c>
      <c r="C381" t="str">
        <f>'4 Person Double Dutch'!B26</f>
        <v>4PDD</v>
      </c>
      <c r="D381" t="str">
        <f>'4 Person Double Dutch'!C26</f>
        <v>15-17</v>
      </c>
      <c r="E381">
        <f>'4 Person Double Dutch'!D26</f>
        <v>0</v>
      </c>
      <c r="F381">
        <f>'4 Person Double Dutch'!F26</f>
        <v>0</v>
      </c>
      <c r="G381">
        <f>'4 Person Double Dutch'!H26</f>
        <v>0</v>
      </c>
      <c r="H381">
        <f>'4 Person Double Dutch'!J26</f>
        <v>0</v>
      </c>
    </row>
    <row r="382" spans="1:8" x14ac:dyDescent="0.25">
      <c r="A382">
        <f>'Team Info'!$B$3</f>
        <v>0</v>
      </c>
      <c r="B382">
        <f>'4 Person Double Dutch'!A27</f>
        <v>3</v>
      </c>
      <c r="C382" t="str">
        <f>'4 Person Double Dutch'!B27</f>
        <v>4PDD</v>
      </c>
      <c r="D382" t="str">
        <f>'4 Person Double Dutch'!C27</f>
        <v>15-17</v>
      </c>
      <c r="E382">
        <f>'4 Person Double Dutch'!D27</f>
        <v>0</v>
      </c>
      <c r="F382">
        <f>'4 Person Double Dutch'!F27</f>
        <v>0</v>
      </c>
      <c r="G382">
        <f>'4 Person Double Dutch'!H27</f>
        <v>0</v>
      </c>
      <c r="H382">
        <f>'4 Person Double Dutch'!J27</f>
        <v>0</v>
      </c>
    </row>
    <row r="383" spans="1:8" x14ac:dyDescent="0.25">
      <c r="A383">
        <f>'Team Info'!$B$3</f>
        <v>0</v>
      </c>
      <c r="B383">
        <f>'4 Person Double Dutch'!A28</f>
        <v>4</v>
      </c>
      <c r="C383" t="str">
        <f>'4 Person Double Dutch'!B28</f>
        <v>4PDD</v>
      </c>
      <c r="D383" t="str">
        <f>'4 Person Double Dutch'!C28</f>
        <v>15-17</v>
      </c>
      <c r="E383">
        <f>'4 Person Double Dutch'!D28</f>
        <v>0</v>
      </c>
      <c r="F383">
        <f>'4 Person Double Dutch'!F28</f>
        <v>0</v>
      </c>
      <c r="G383">
        <f>'4 Person Double Dutch'!H28</f>
        <v>0</v>
      </c>
      <c r="H383">
        <f>'4 Person Double Dutch'!J28</f>
        <v>0</v>
      </c>
    </row>
    <row r="384" spans="1:8" x14ac:dyDescent="0.25">
      <c r="A384">
        <f>'Team Info'!$B$3</f>
        <v>0</v>
      </c>
      <c r="B384">
        <f>'4 Person Double Dutch'!A29</f>
        <v>5</v>
      </c>
      <c r="C384" t="str">
        <f>'4 Person Double Dutch'!B29</f>
        <v>4PDD</v>
      </c>
      <c r="D384" t="str">
        <f>'4 Person Double Dutch'!C29</f>
        <v>15-17</v>
      </c>
      <c r="E384">
        <f>'4 Person Double Dutch'!D29</f>
        <v>0</v>
      </c>
      <c r="F384">
        <f>'4 Person Double Dutch'!F29</f>
        <v>0</v>
      </c>
      <c r="G384">
        <f>'4 Person Double Dutch'!H29</f>
        <v>0</v>
      </c>
      <c r="H384">
        <f>'4 Person Double Dutch'!J29</f>
        <v>0</v>
      </c>
    </row>
    <row r="385" spans="1:8" x14ac:dyDescent="0.25">
      <c r="A385">
        <f>'Team Info'!$B$3</f>
        <v>0</v>
      </c>
      <c r="B385">
        <f>'4 Person Double Dutch'!A30</f>
        <v>6</v>
      </c>
      <c r="C385" t="str">
        <f>'4 Person Double Dutch'!B30</f>
        <v>4PDD</v>
      </c>
      <c r="D385" t="str">
        <f>'4 Person Double Dutch'!C30</f>
        <v>15-17</v>
      </c>
      <c r="E385">
        <f>'4 Person Double Dutch'!D30</f>
        <v>0</v>
      </c>
      <c r="F385">
        <f>'4 Person Double Dutch'!F30</f>
        <v>0</v>
      </c>
      <c r="G385">
        <f>'4 Person Double Dutch'!H30</f>
        <v>0</v>
      </c>
      <c r="H385">
        <f>'4 Person Double Dutch'!J30</f>
        <v>0</v>
      </c>
    </row>
    <row r="386" spans="1:8" x14ac:dyDescent="0.25">
      <c r="A386">
        <f>'Team Info'!$B$3</f>
        <v>0</v>
      </c>
      <c r="B386">
        <f>'4 Person Double Dutch'!A31</f>
        <v>7</v>
      </c>
      <c r="C386" t="str">
        <f>'4 Person Double Dutch'!B31</f>
        <v>4PDD</v>
      </c>
      <c r="D386" t="str">
        <f>'4 Person Double Dutch'!C31</f>
        <v>15-17</v>
      </c>
      <c r="E386">
        <f>'4 Person Double Dutch'!D31</f>
        <v>0</v>
      </c>
      <c r="F386">
        <f>'4 Person Double Dutch'!F31</f>
        <v>0</v>
      </c>
      <c r="G386">
        <f>'4 Person Double Dutch'!H31</f>
        <v>0</v>
      </c>
      <c r="H386">
        <f>'4 Person Double Dutch'!J31</f>
        <v>0</v>
      </c>
    </row>
    <row r="387" spans="1:8" x14ac:dyDescent="0.25">
      <c r="A387">
        <f>'Team Info'!$B$3</f>
        <v>0</v>
      </c>
      <c r="B387">
        <f>'4 Person Double Dutch'!A32</f>
        <v>8</v>
      </c>
      <c r="C387" t="str">
        <f>'4 Person Double Dutch'!B32</f>
        <v>4PDD</v>
      </c>
      <c r="D387" t="str">
        <f>'4 Person Double Dutch'!C32</f>
        <v>15-17</v>
      </c>
      <c r="E387">
        <f>'4 Person Double Dutch'!D32</f>
        <v>0</v>
      </c>
      <c r="F387">
        <f>'4 Person Double Dutch'!F32</f>
        <v>0</v>
      </c>
      <c r="G387">
        <f>'4 Person Double Dutch'!H32</f>
        <v>0</v>
      </c>
      <c r="H387">
        <f>'4 Person Double Dutch'!J32</f>
        <v>0</v>
      </c>
    </row>
    <row r="388" spans="1:8" x14ac:dyDescent="0.25">
      <c r="A388">
        <f>'Team Info'!$B$3</f>
        <v>0</v>
      </c>
      <c r="B388">
        <f>'4 Person Double Dutch'!A35</f>
        <v>1</v>
      </c>
      <c r="C388" t="str">
        <f>'4 Person Double Dutch'!B35</f>
        <v>4PDD</v>
      </c>
      <c r="D388" t="str">
        <f>'4 Person Double Dutch'!C35</f>
        <v>18-22</v>
      </c>
      <c r="E388">
        <f>'4 Person Double Dutch'!D35</f>
        <v>0</v>
      </c>
      <c r="F388">
        <f>'4 Person Double Dutch'!F35</f>
        <v>0</v>
      </c>
      <c r="G388">
        <f>'4 Person Double Dutch'!H35</f>
        <v>0</v>
      </c>
      <c r="H388">
        <f>'4 Person Double Dutch'!J35</f>
        <v>0</v>
      </c>
    </row>
    <row r="389" spans="1:8" x14ac:dyDescent="0.25">
      <c r="A389">
        <f>'Team Info'!$B$3</f>
        <v>0</v>
      </c>
      <c r="B389">
        <f>'4 Person Double Dutch'!A36</f>
        <v>2</v>
      </c>
      <c r="C389" t="str">
        <f>'4 Person Double Dutch'!B36</f>
        <v>4PDD</v>
      </c>
      <c r="D389" t="str">
        <f>'4 Person Double Dutch'!C36</f>
        <v>18-22</v>
      </c>
      <c r="E389">
        <f>'4 Person Double Dutch'!D36</f>
        <v>0</v>
      </c>
      <c r="F389">
        <f>'4 Person Double Dutch'!F36</f>
        <v>0</v>
      </c>
      <c r="G389">
        <f>'4 Person Double Dutch'!H36</f>
        <v>0</v>
      </c>
      <c r="H389">
        <f>'4 Person Double Dutch'!J36</f>
        <v>0</v>
      </c>
    </row>
    <row r="390" spans="1:8" x14ac:dyDescent="0.25">
      <c r="A390">
        <f>'Team Info'!$B$3</f>
        <v>0</v>
      </c>
      <c r="B390">
        <f>'4 Person Double Dutch'!A37</f>
        <v>3</v>
      </c>
      <c r="C390" t="str">
        <f>'4 Person Double Dutch'!B37</f>
        <v>4PDD</v>
      </c>
      <c r="D390" t="str">
        <f>'4 Person Double Dutch'!C37</f>
        <v>18-22</v>
      </c>
      <c r="E390">
        <f>'4 Person Double Dutch'!D37</f>
        <v>0</v>
      </c>
      <c r="F390">
        <f>'4 Person Double Dutch'!F37</f>
        <v>0</v>
      </c>
      <c r="G390">
        <f>'4 Person Double Dutch'!H37</f>
        <v>0</v>
      </c>
      <c r="H390">
        <f>'4 Person Double Dutch'!J37</f>
        <v>0</v>
      </c>
    </row>
    <row r="391" spans="1:8" x14ac:dyDescent="0.25">
      <c r="A391">
        <f>'Team Info'!$B$3</f>
        <v>0</v>
      </c>
      <c r="B391">
        <f>'4 Person Double Dutch'!A38</f>
        <v>4</v>
      </c>
      <c r="C391" t="str">
        <f>'4 Person Double Dutch'!B38</f>
        <v>4PDD</v>
      </c>
      <c r="D391" t="str">
        <f>'4 Person Double Dutch'!C38</f>
        <v>18-22</v>
      </c>
      <c r="E391">
        <f>'4 Person Double Dutch'!D38</f>
        <v>0</v>
      </c>
      <c r="F391">
        <f>'4 Person Double Dutch'!F38</f>
        <v>0</v>
      </c>
      <c r="G391">
        <f>'4 Person Double Dutch'!H38</f>
        <v>0</v>
      </c>
      <c r="H391">
        <f>'4 Person Double Dutch'!J38</f>
        <v>0</v>
      </c>
    </row>
    <row r="392" spans="1:8" x14ac:dyDescent="0.25">
      <c r="A392">
        <f>'Team Info'!$B$3</f>
        <v>0</v>
      </c>
      <c r="B392">
        <f>'4 Person Double Dutch'!A39</f>
        <v>5</v>
      </c>
      <c r="C392" t="str">
        <f>'4 Person Double Dutch'!B39</f>
        <v>4PDD</v>
      </c>
      <c r="D392" t="str">
        <f>'4 Person Double Dutch'!C39</f>
        <v>18-22</v>
      </c>
      <c r="E392">
        <f>'4 Person Double Dutch'!D39</f>
        <v>0</v>
      </c>
      <c r="F392">
        <f>'4 Person Double Dutch'!F39</f>
        <v>0</v>
      </c>
      <c r="G392">
        <f>'4 Person Double Dutch'!H39</f>
        <v>0</v>
      </c>
      <c r="H392">
        <f>'4 Person Double Dutch'!J39</f>
        <v>0</v>
      </c>
    </row>
    <row r="393" spans="1:8" x14ac:dyDescent="0.25">
      <c r="A393">
        <f>'Team Info'!$B$3</f>
        <v>0</v>
      </c>
      <c r="B393">
        <f>'4 Person Double Dutch'!A40</f>
        <v>6</v>
      </c>
      <c r="C393" t="str">
        <f>'4 Person Double Dutch'!B40</f>
        <v>4PDD</v>
      </c>
      <c r="D393" t="str">
        <f>'4 Person Double Dutch'!C40</f>
        <v>18-22</v>
      </c>
      <c r="E393">
        <f>'4 Person Double Dutch'!D40</f>
        <v>0</v>
      </c>
      <c r="F393">
        <f>'4 Person Double Dutch'!F40</f>
        <v>0</v>
      </c>
      <c r="G393">
        <f>'4 Person Double Dutch'!H40</f>
        <v>0</v>
      </c>
      <c r="H393">
        <f>'4 Person Double Dutch'!J40</f>
        <v>0</v>
      </c>
    </row>
    <row r="394" spans="1:8" x14ac:dyDescent="0.25">
      <c r="A394">
        <f>'Team Info'!$B$3</f>
        <v>0</v>
      </c>
      <c r="B394">
        <f>'4 Person Double Dutch'!A41</f>
        <v>7</v>
      </c>
      <c r="C394" t="str">
        <f>'4 Person Double Dutch'!B41</f>
        <v>4PDD</v>
      </c>
      <c r="D394" t="str">
        <f>'4 Person Double Dutch'!C41</f>
        <v>18-22</v>
      </c>
      <c r="E394">
        <f>'4 Person Double Dutch'!D41</f>
        <v>0</v>
      </c>
      <c r="F394">
        <f>'4 Person Double Dutch'!F41</f>
        <v>0</v>
      </c>
      <c r="G394">
        <f>'4 Person Double Dutch'!H41</f>
        <v>0</v>
      </c>
      <c r="H394">
        <f>'4 Person Double Dutch'!J41</f>
        <v>0</v>
      </c>
    </row>
    <row r="395" spans="1:8" x14ac:dyDescent="0.25">
      <c r="A395">
        <f>'Team Info'!$B$3</f>
        <v>0</v>
      </c>
      <c r="B395">
        <f>'4 Person Double Dutch'!A42</f>
        <v>8</v>
      </c>
      <c r="C395" t="str">
        <f>'4 Person Double Dutch'!B42</f>
        <v>4PDD</v>
      </c>
      <c r="D395" t="str">
        <f>'4 Person Double Dutch'!C42</f>
        <v>18-22</v>
      </c>
      <c r="E395">
        <f>'4 Person Double Dutch'!D42</f>
        <v>0</v>
      </c>
      <c r="F395">
        <f>'4 Person Double Dutch'!F42</f>
        <v>0</v>
      </c>
      <c r="G395">
        <f>'4 Person Double Dutch'!H42</f>
        <v>0</v>
      </c>
      <c r="H395">
        <f>'4 Person Double Dutch'!J42</f>
        <v>0</v>
      </c>
    </row>
    <row r="396" spans="1:8" x14ac:dyDescent="0.25">
      <c r="A396">
        <f>'Team Info'!$B$3</f>
        <v>0</v>
      </c>
      <c r="B396">
        <f>'4 Person Single Rope Event'!A5</f>
        <v>1</v>
      </c>
      <c r="C396" t="str">
        <f>'4 Person Single Rope Event'!B5</f>
        <v>4PSR</v>
      </c>
      <c r="D396" t="str">
        <f>'4 Person Single Rope Event'!C5</f>
        <v>14-Under</v>
      </c>
      <c r="E396">
        <f>'4 Person Single Rope Event'!D5</f>
        <v>0</v>
      </c>
      <c r="F396">
        <f>'4 Person Single Rope Event'!F5</f>
        <v>0</v>
      </c>
      <c r="G396">
        <f>'4 Person Single Rope Event'!H5</f>
        <v>0</v>
      </c>
      <c r="H396">
        <f>'4 Person Single Rope Event'!J5</f>
        <v>0</v>
      </c>
    </row>
    <row r="397" spans="1:8" x14ac:dyDescent="0.25">
      <c r="A397">
        <f>'Team Info'!$B$3</f>
        <v>0</v>
      </c>
      <c r="B397">
        <f>'4 Person Single Rope Event'!A6</f>
        <v>2</v>
      </c>
      <c r="C397" t="str">
        <f>'4 Person Single Rope Event'!B6</f>
        <v>4PSR</v>
      </c>
      <c r="D397" t="str">
        <f>'4 Person Single Rope Event'!C6</f>
        <v>14-Under</v>
      </c>
      <c r="E397">
        <f>'4 Person Single Rope Event'!D6</f>
        <v>0</v>
      </c>
      <c r="F397">
        <f>'4 Person Single Rope Event'!F6</f>
        <v>0</v>
      </c>
      <c r="G397">
        <f>'4 Person Single Rope Event'!H6</f>
        <v>0</v>
      </c>
      <c r="H397">
        <f>'4 Person Single Rope Event'!J6</f>
        <v>0</v>
      </c>
    </row>
    <row r="398" spans="1:8" x14ac:dyDescent="0.25">
      <c r="A398">
        <f>'Team Info'!$B$3</f>
        <v>0</v>
      </c>
      <c r="B398">
        <f>'4 Person Single Rope Event'!A7</f>
        <v>3</v>
      </c>
      <c r="C398" t="str">
        <f>'4 Person Single Rope Event'!B7</f>
        <v>4PSR</v>
      </c>
      <c r="D398" t="str">
        <f>'4 Person Single Rope Event'!C7</f>
        <v>14-Under</v>
      </c>
      <c r="E398">
        <f>'4 Person Single Rope Event'!D7</f>
        <v>0</v>
      </c>
      <c r="F398">
        <f>'4 Person Single Rope Event'!F7</f>
        <v>0</v>
      </c>
      <c r="G398">
        <f>'4 Person Single Rope Event'!H7</f>
        <v>0</v>
      </c>
      <c r="H398">
        <f>'4 Person Single Rope Event'!J7</f>
        <v>0</v>
      </c>
    </row>
    <row r="399" spans="1:8" x14ac:dyDescent="0.25">
      <c r="A399">
        <f>'Team Info'!$B$3</f>
        <v>0</v>
      </c>
      <c r="B399">
        <f>'4 Person Single Rope Event'!A8</f>
        <v>4</v>
      </c>
      <c r="C399" t="str">
        <f>'4 Person Single Rope Event'!B8</f>
        <v>4PSR</v>
      </c>
      <c r="D399" t="str">
        <f>'4 Person Single Rope Event'!C8</f>
        <v>14-Under</v>
      </c>
      <c r="E399">
        <f>'4 Person Single Rope Event'!D8</f>
        <v>0</v>
      </c>
      <c r="F399">
        <f>'4 Person Single Rope Event'!F8</f>
        <v>0</v>
      </c>
      <c r="G399">
        <f>'4 Person Single Rope Event'!H8</f>
        <v>0</v>
      </c>
      <c r="H399">
        <f>'4 Person Single Rope Event'!J8</f>
        <v>0</v>
      </c>
    </row>
    <row r="400" spans="1:8" x14ac:dyDescent="0.25">
      <c r="A400">
        <f>'Team Info'!$B$3</f>
        <v>0</v>
      </c>
      <c r="B400">
        <f>'4 Person Single Rope Event'!A9</f>
        <v>5</v>
      </c>
      <c r="C400" t="str">
        <f>'4 Person Single Rope Event'!B9</f>
        <v>4PSR</v>
      </c>
      <c r="D400" t="str">
        <f>'4 Person Single Rope Event'!C9</f>
        <v>14-Under</v>
      </c>
      <c r="E400">
        <f>'4 Person Single Rope Event'!D9</f>
        <v>0</v>
      </c>
      <c r="F400">
        <f>'4 Person Single Rope Event'!F9</f>
        <v>0</v>
      </c>
      <c r="G400">
        <f>'4 Person Single Rope Event'!H9</f>
        <v>0</v>
      </c>
      <c r="H400">
        <f>'4 Person Single Rope Event'!J9</f>
        <v>0</v>
      </c>
    </row>
    <row r="401" spans="1:8" x14ac:dyDescent="0.25">
      <c r="A401">
        <f>'Team Info'!$B$3</f>
        <v>0</v>
      </c>
      <c r="B401">
        <f>'4 Person Single Rope Event'!A10</f>
        <v>6</v>
      </c>
      <c r="C401" t="str">
        <f>'4 Person Single Rope Event'!B10</f>
        <v>4PSR</v>
      </c>
      <c r="D401" t="str">
        <f>'4 Person Single Rope Event'!C10</f>
        <v>14-Under</v>
      </c>
      <c r="E401">
        <f>'4 Person Single Rope Event'!D10</f>
        <v>0</v>
      </c>
      <c r="F401">
        <f>'4 Person Single Rope Event'!F10</f>
        <v>0</v>
      </c>
      <c r="G401">
        <f>'4 Person Single Rope Event'!H10</f>
        <v>0</v>
      </c>
      <c r="H401">
        <f>'4 Person Single Rope Event'!J10</f>
        <v>0</v>
      </c>
    </row>
    <row r="402" spans="1:8" x14ac:dyDescent="0.25">
      <c r="A402">
        <f>'Team Info'!$B$3</f>
        <v>0</v>
      </c>
      <c r="B402">
        <f>'4 Person Single Rope Event'!A11</f>
        <v>7</v>
      </c>
      <c r="C402" t="str">
        <f>'4 Person Single Rope Event'!B11</f>
        <v>4PSR</v>
      </c>
      <c r="D402" t="str">
        <f>'4 Person Single Rope Event'!C11</f>
        <v>14-Under</v>
      </c>
      <c r="E402">
        <f>'4 Person Single Rope Event'!D11</f>
        <v>0</v>
      </c>
      <c r="F402">
        <f>'4 Person Single Rope Event'!F11</f>
        <v>0</v>
      </c>
      <c r="G402">
        <f>'4 Person Single Rope Event'!H11</f>
        <v>0</v>
      </c>
      <c r="H402">
        <f>'4 Person Single Rope Event'!J11</f>
        <v>0</v>
      </c>
    </row>
    <row r="403" spans="1:8" x14ac:dyDescent="0.25">
      <c r="A403">
        <f>'Team Info'!$B$3</f>
        <v>0</v>
      </c>
      <c r="B403">
        <f>'4 Person Single Rope Event'!A12</f>
        <v>8</v>
      </c>
      <c r="C403" t="str">
        <f>'4 Person Single Rope Event'!B12</f>
        <v>4PSR</v>
      </c>
      <c r="D403" t="str">
        <f>'4 Person Single Rope Event'!C12</f>
        <v>14-Under</v>
      </c>
      <c r="E403">
        <f>'4 Person Single Rope Event'!D12</f>
        <v>0</v>
      </c>
      <c r="F403">
        <f>'4 Person Single Rope Event'!F12</f>
        <v>0</v>
      </c>
      <c r="G403">
        <f>'4 Person Single Rope Event'!H12</f>
        <v>0</v>
      </c>
      <c r="H403">
        <f>'4 Person Single Rope Event'!J12</f>
        <v>0</v>
      </c>
    </row>
    <row r="404" spans="1:8" x14ac:dyDescent="0.25">
      <c r="A404">
        <f>'Team Info'!$B$3</f>
        <v>0</v>
      </c>
      <c r="B404">
        <f>'4 Person Single Rope Event'!A15</f>
        <v>1</v>
      </c>
      <c r="C404" t="str">
        <f>'4 Person Single Rope Event'!B15</f>
        <v>4PSR</v>
      </c>
      <c r="D404" t="str">
        <f>'4 Person Single Rope Event'!C15</f>
        <v>15-22</v>
      </c>
      <c r="E404">
        <f>'4 Person Single Rope Event'!D15</f>
        <v>0</v>
      </c>
      <c r="F404">
        <f>'4 Person Single Rope Event'!F15</f>
        <v>0</v>
      </c>
      <c r="G404">
        <f>'4 Person Single Rope Event'!H15</f>
        <v>0</v>
      </c>
      <c r="H404">
        <f>'4 Person Single Rope Event'!J15</f>
        <v>0</v>
      </c>
    </row>
    <row r="405" spans="1:8" x14ac:dyDescent="0.25">
      <c r="A405">
        <f>'Team Info'!$B$3</f>
        <v>0</v>
      </c>
      <c r="B405">
        <f>'4 Person Single Rope Event'!A16</f>
        <v>2</v>
      </c>
      <c r="C405" t="str">
        <f>'4 Person Single Rope Event'!B16</f>
        <v>4PSR</v>
      </c>
      <c r="D405" t="str">
        <f>'4 Person Single Rope Event'!C16</f>
        <v>15-22</v>
      </c>
      <c r="E405">
        <f>'4 Person Single Rope Event'!D16</f>
        <v>0</v>
      </c>
      <c r="F405">
        <f>'4 Person Single Rope Event'!F16</f>
        <v>0</v>
      </c>
      <c r="G405">
        <f>'4 Person Single Rope Event'!H16</f>
        <v>0</v>
      </c>
      <c r="H405">
        <f>'4 Person Single Rope Event'!J16</f>
        <v>0</v>
      </c>
    </row>
    <row r="406" spans="1:8" x14ac:dyDescent="0.25">
      <c r="A406">
        <f>'Team Info'!$B$3</f>
        <v>0</v>
      </c>
      <c r="B406">
        <f>'4 Person Single Rope Event'!A17</f>
        <v>3</v>
      </c>
      <c r="C406" t="str">
        <f>'4 Person Single Rope Event'!B17</f>
        <v>4PSR</v>
      </c>
      <c r="D406" t="str">
        <f>'4 Person Single Rope Event'!C17</f>
        <v>15-22</v>
      </c>
      <c r="E406">
        <f>'4 Person Single Rope Event'!D17</f>
        <v>0</v>
      </c>
      <c r="F406">
        <f>'4 Person Single Rope Event'!F17</f>
        <v>0</v>
      </c>
      <c r="G406">
        <f>'4 Person Single Rope Event'!H17</f>
        <v>0</v>
      </c>
      <c r="H406">
        <f>'4 Person Single Rope Event'!J17</f>
        <v>0</v>
      </c>
    </row>
    <row r="407" spans="1:8" x14ac:dyDescent="0.25">
      <c r="A407">
        <f>'Team Info'!$B$3</f>
        <v>0</v>
      </c>
      <c r="B407">
        <f>'4 Person Single Rope Event'!A18</f>
        <v>4</v>
      </c>
      <c r="C407" t="str">
        <f>'4 Person Single Rope Event'!B18</f>
        <v>4PSR</v>
      </c>
      <c r="D407" t="str">
        <f>'4 Person Single Rope Event'!C18</f>
        <v>15-22</v>
      </c>
      <c r="E407">
        <f>'4 Person Single Rope Event'!D18</f>
        <v>0</v>
      </c>
      <c r="F407">
        <f>'4 Person Single Rope Event'!F18</f>
        <v>0</v>
      </c>
      <c r="G407">
        <f>'4 Person Single Rope Event'!H18</f>
        <v>0</v>
      </c>
      <c r="H407">
        <f>'4 Person Single Rope Event'!J18</f>
        <v>0</v>
      </c>
    </row>
    <row r="408" spans="1:8" x14ac:dyDescent="0.25">
      <c r="A408">
        <f>'Team Info'!$B$3</f>
        <v>0</v>
      </c>
      <c r="B408">
        <f>'4 Person Single Rope Event'!A19</f>
        <v>5</v>
      </c>
      <c r="C408" t="str">
        <f>'4 Person Single Rope Event'!B19</f>
        <v>4PSR</v>
      </c>
      <c r="D408" t="str">
        <f>'4 Person Single Rope Event'!C19</f>
        <v>15-22</v>
      </c>
      <c r="E408">
        <f>'4 Person Single Rope Event'!D19</f>
        <v>0</v>
      </c>
      <c r="F408">
        <f>'4 Person Single Rope Event'!F19</f>
        <v>0</v>
      </c>
      <c r="G408">
        <f>'4 Person Single Rope Event'!H19</f>
        <v>0</v>
      </c>
      <c r="H408">
        <f>'4 Person Single Rope Event'!J19</f>
        <v>0</v>
      </c>
    </row>
    <row r="409" spans="1:8" x14ac:dyDescent="0.25">
      <c r="A409">
        <f>'Team Info'!$B$3</f>
        <v>0</v>
      </c>
      <c r="B409">
        <f>'4 Person Single Rope Event'!A20</f>
        <v>6</v>
      </c>
      <c r="C409" t="str">
        <f>'4 Person Single Rope Event'!B20</f>
        <v>4PSR</v>
      </c>
      <c r="D409" t="str">
        <f>'4 Person Single Rope Event'!C20</f>
        <v>15-22</v>
      </c>
      <c r="E409">
        <f>'4 Person Single Rope Event'!D20</f>
        <v>0</v>
      </c>
      <c r="F409">
        <f>'4 Person Single Rope Event'!F20</f>
        <v>0</v>
      </c>
      <c r="G409">
        <f>'4 Person Single Rope Event'!H20</f>
        <v>0</v>
      </c>
      <c r="H409">
        <f>'4 Person Single Rope Event'!J20</f>
        <v>0</v>
      </c>
    </row>
    <row r="410" spans="1:8" x14ac:dyDescent="0.25">
      <c r="A410">
        <f>'Team Info'!$B$3</f>
        <v>0</v>
      </c>
      <c r="B410">
        <f>'4 Person Single Rope Event'!A21</f>
        <v>7</v>
      </c>
      <c r="C410" t="str">
        <f>'4 Person Single Rope Event'!B21</f>
        <v>4PSR</v>
      </c>
      <c r="D410" t="str">
        <f>'4 Person Single Rope Event'!C21</f>
        <v>15-22</v>
      </c>
      <c r="E410">
        <f>'4 Person Single Rope Event'!D21</f>
        <v>0</v>
      </c>
      <c r="F410">
        <f>'4 Person Single Rope Event'!F21</f>
        <v>0</v>
      </c>
      <c r="G410">
        <f>'4 Person Single Rope Event'!H21</f>
        <v>0</v>
      </c>
      <c r="H410">
        <f>'4 Person Single Rope Event'!J21</f>
        <v>0</v>
      </c>
    </row>
    <row r="411" spans="1:8" x14ac:dyDescent="0.25">
      <c r="A411">
        <f>'Team Info'!$B$3</f>
        <v>0</v>
      </c>
      <c r="B411">
        <f>'4 Person Single Rope Event'!A22</f>
        <v>8</v>
      </c>
      <c r="C411" t="str">
        <f>'4 Person Single Rope Event'!B22</f>
        <v>4PSR</v>
      </c>
      <c r="D411" t="str">
        <f>'4 Person Single Rope Event'!C22</f>
        <v>15-22</v>
      </c>
      <c r="E411">
        <f>'4 Person Single Rope Event'!D22</f>
        <v>0</v>
      </c>
      <c r="F411">
        <f>'4 Person Single Rope Event'!F22</f>
        <v>0</v>
      </c>
      <c r="G411">
        <f>'4 Person Single Rope Event'!H22</f>
        <v>0</v>
      </c>
      <c r="H411">
        <f>'4 Person Single Rope Event'!J22</f>
        <v>0</v>
      </c>
    </row>
  </sheetData>
  <autoFilter ref="A3:H363" xr:uid="{00000000-0009-0000-0000-00000D000000}"/>
  <pageMargins left="0.7" right="0.7" top="0.75" bottom="0.75" header="0.3" footer="0.3"/>
  <pageSetup orientation="portrait"/>
  <customProperties>
    <customPr name="DVSECTION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IV34"/>
  <sheetViews>
    <sheetView workbookViewId="0">
      <selection activeCell="IF33" sqref="IF33"/>
    </sheetView>
  </sheetViews>
  <sheetFormatPr defaultColWidth="8.85546875" defaultRowHeight="15" x14ac:dyDescent="0.25"/>
  <sheetData>
    <row r="1" spans="1:256" x14ac:dyDescent="0.25">
      <c r="A1" t="e">
        <f>IF('Team Info'!1:1,"AAAAAFvr+wA=",0)</f>
        <v>#VALUE!</v>
      </c>
      <c r="B1" t="e">
        <f>AND('Team Info'!A1,"AAAAAFvr+wE=")</f>
        <v>#VALUE!</v>
      </c>
      <c r="C1" t="e">
        <f>AND('Team Info'!B1,"AAAAAFvr+wI=")</f>
        <v>#VALUE!</v>
      </c>
      <c r="D1">
        <f>IF('Team Info'!2:2,"AAAAAFvr+wM=",0)</f>
        <v>0</v>
      </c>
      <c r="E1" t="e">
        <f>AND('Team Info'!A2,"AAAAAFvr+wQ=")</f>
        <v>#VALUE!</v>
      </c>
      <c r="F1" t="e">
        <f>AND('Team Info'!B2,"AAAAAFvr+wU=")</f>
        <v>#VALUE!</v>
      </c>
      <c r="G1">
        <f>IF('Team Info'!3:3,"AAAAAFvr+wY=",0)</f>
        <v>0</v>
      </c>
      <c r="H1" t="e">
        <f>AND('Team Info'!A3,"AAAAAFvr+wc=")</f>
        <v>#VALUE!</v>
      </c>
      <c r="I1" t="e">
        <f>AND('Team Info'!B3,"AAAAAFvr+wg=")</f>
        <v>#VALUE!</v>
      </c>
      <c r="J1">
        <f>IF('Team Info'!4:4,"AAAAAFvr+wk=",0)</f>
        <v>0</v>
      </c>
      <c r="K1" t="e">
        <f>AND('Team Info'!A4,"AAAAAFvr+wo=")</f>
        <v>#VALUE!</v>
      </c>
      <c r="L1" t="e">
        <f>AND('Team Info'!B4,"AAAAAFvr+ws=")</f>
        <v>#VALUE!</v>
      </c>
      <c r="M1" t="e">
        <f>IF('Team Info'!#REF!,"AAAAAFvr+ww=",0)</f>
        <v>#REF!</v>
      </c>
      <c r="N1" t="e">
        <f>AND('Team Info'!#REF!,"AAAAAFvr+w0=")</f>
        <v>#REF!</v>
      </c>
      <c r="O1" t="e">
        <f>AND('Team Info'!#REF!,"AAAAAFvr+w4=")</f>
        <v>#REF!</v>
      </c>
      <c r="P1" t="e">
        <f>IF('Team Info'!#REF!,"AAAAAFvr+w8=",0)</f>
        <v>#REF!</v>
      </c>
      <c r="Q1" t="e">
        <f>AND('Team Info'!#REF!,"AAAAAFvr+xA=")</f>
        <v>#REF!</v>
      </c>
      <c r="R1" t="e">
        <f>AND('Team Info'!#REF!,"AAAAAFvr+xE=")</f>
        <v>#REF!</v>
      </c>
      <c r="S1">
        <f>IF('Team Info'!5:5,"AAAAAFvr+xI=",0)</f>
        <v>0</v>
      </c>
      <c r="T1" t="e">
        <f>AND('Team Info'!A5,"AAAAAFvr+xM=")</f>
        <v>#VALUE!</v>
      </c>
      <c r="U1" t="e">
        <f>AND('Team Info'!B5,"AAAAAFvr+xQ=")</f>
        <v>#VALUE!</v>
      </c>
      <c r="V1" t="e">
        <f>IF('Team Info'!#REF!,"AAAAAFvr+xU=",0)</f>
        <v>#REF!</v>
      </c>
      <c r="W1" t="e">
        <f>AND('Team Info'!#REF!,"AAAAAFvr+xY=")</f>
        <v>#REF!</v>
      </c>
      <c r="X1" t="e">
        <f>AND('Team Info'!#REF!,"AAAAAFvr+xc=")</f>
        <v>#REF!</v>
      </c>
      <c r="Y1">
        <f>IF('Team Info'!6:6,"AAAAAFvr+xg=",0)</f>
        <v>0</v>
      </c>
      <c r="Z1" t="e">
        <f>AND('Team Info'!A6,"AAAAAFvr+xk=")</f>
        <v>#VALUE!</v>
      </c>
      <c r="AA1" t="e">
        <f>AND('Team Info'!B6,"AAAAAFvr+xo=")</f>
        <v>#VALUE!</v>
      </c>
      <c r="AB1">
        <f>IF('Team Info'!7:7,"AAAAAFvr+xs=",0)</f>
        <v>0</v>
      </c>
      <c r="AC1" t="e">
        <f>AND('Team Info'!A7,"AAAAAFvr+xw=")</f>
        <v>#VALUE!</v>
      </c>
      <c r="AD1" t="e">
        <f>AND('Team Info'!B7,"AAAAAFvr+x0=")</f>
        <v>#VALUE!</v>
      </c>
      <c r="AE1">
        <f>IF('Team Info'!8:8,"AAAAAFvr+x4=",0)</f>
        <v>0</v>
      </c>
      <c r="AF1" t="e">
        <f>AND('Team Info'!A8,"AAAAAFvr+x8=")</f>
        <v>#VALUE!</v>
      </c>
      <c r="AG1" t="e">
        <f>AND('Team Info'!B8,"AAAAAFvr+yA=")</f>
        <v>#VALUE!</v>
      </c>
      <c r="AH1">
        <f>IF('Team Info'!9:9,"AAAAAFvr+yE=",0)</f>
        <v>0</v>
      </c>
      <c r="AI1" t="e">
        <f>AND('Team Info'!A9,"AAAAAFvr+yI=")</f>
        <v>#VALUE!</v>
      </c>
      <c r="AJ1" t="e">
        <f>AND('Team Info'!B9,"AAAAAFvr+yM=")</f>
        <v>#VALUE!</v>
      </c>
      <c r="AK1">
        <f>IF('Team Info'!10:10,"AAAAAFvr+yQ=",0)</f>
        <v>0</v>
      </c>
      <c r="AL1" t="e">
        <f>AND('Team Info'!A10,"AAAAAFvr+yU=")</f>
        <v>#VALUE!</v>
      </c>
      <c r="AM1" t="e">
        <f>AND('Team Info'!B10,"AAAAAFvr+yY=")</f>
        <v>#VALUE!</v>
      </c>
      <c r="AN1">
        <f>IF('Team Info'!11:11,"AAAAAFvr+yc=",0)</f>
        <v>0</v>
      </c>
      <c r="AO1" t="e">
        <f>AND('Team Info'!A11,"AAAAAFvr+yg=")</f>
        <v>#VALUE!</v>
      </c>
      <c r="AP1" t="e">
        <f>AND('Team Info'!B11,"AAAAAFvr+yk=")</f>
        <v>#VALUE!</v>
      </c>
      <c r="AQ1">
        <f>IF('Team Info'!12:12,"AAAAAFvr+yo=",0)</f>
        <v>0</v>
      </c>
      <c r="AR1" t="e">
        <f>AND('Team Info'!A12,"AAAAAFvr+ys=")</f>
        <v>#VALUE!</v>
      </c>
      <c r="AS1" t="e">
        <f>AND('Team Info'!B12,"AAAAAFvr+yw=")</f>
        <v>#VALUE!</v>
      </c>
      <c r="AT1">
        <f>IF('Team Info'!13:13,"AAAAAFvr+y0=",0)</f>
        <v>0</v>
      </c>
      <c r="AU1" t="e">
        <f>AND('Team Info'!A13,"AAAAAFvr+y4=")</f>
        <v>#VALUE!</v>
      </c>
      <c r="AV1" t="e">
        <f>AND('Team Info'!B13,"AAAAAFvr+y8=")</f>
        <v>#VALUE!</v>
      </c>
      <c r="AW1">
        <f>IF('Team Info'!14:14,"AAAAAFvr+zA=",0)</f>
        <v>0</v>
      </c>
      <c r="AX1" t="e">
        <f>AND('Team Info'!A14,"AAAAAFvr+zE=")</f>
        <v>#VALUE!</v>
      </c>
      <c r="AY1" t="e">
        <f>AND('Team Info'!B14,"AAAAAFvr+zI=")</f>
        <v>#VALUE!</v>
      </c>
      <c r="AZ1">
        <f>IF('Team Info'!15:15,"AAAAAFvr+zM=",0)</f>
        <v>0</v>
      </c>
      <c r="BA1" t="e">
        <f>AND('Team Info'!A15,"AAAAAFvr+zQ=")</f>
        <v>#VALUE!</v>
      </c>
      <c r="BB1" t="e">
        <f>AND('Team Info'!B15,"AAAAAFvr+zU=")</f>
        <v>#VALUE!</v>
      </c>
      <c r="BC1">
        <f>IF('Team Info'!16:16,"AAAAAFvr+zY=",0)</f>
        <v>0</v>
      </c>
      <c r="BD1" t="e">
        <f>AND('Team Info'!A16,"AAAAAFvr+zc=")</f>
        <v>#VALUE!</v>
      </c>
      <c r="BE1" t="e">
        <f>AND('Team Info'!B16,"AAAAAFvr+zg=")</f>
        <v>#VALUE!</v>
      </c>
      <c r="BF1">
        <f>IF('Team Info'!17:17,"AAAAAFvr+zk=",0)</f>
        <v>0</v>
      </c>
      <c r="BG1" t="e">
        <f>AND('Team Info'!A17,"AAAAAFvr+zo=")</f>
        <v>#VALUE!</v>
      </c>
      <c r="BH1" t="e">
        <f>AND('Team Info'!B17,"AAAAAFvr+zs=")</f>
        <v>#VALUE!</v>
      </c>
      <c r="BI1">
        <f>IF('Team Info'!18:18,"AAAAAFvr+zw=",0)</f>
        <v>0</v>
      </c>
      <c r="BJ1" t="e">
        <f>AND('Team Info'!A18,"AAAAAFvr+z0=")</f>
        <v>#VALUE!</v>
      </c>
      <c r="BK1" t="e">
        <f>AND('Team Info'!B18,"AAAAAFvr+z4=")</f>
        <v>#VALUE!</v>
      </c>
      <c r="BL1" t="e">
        <f>IF('Team Info'!A:A,"AAAAAFvr+z8=",0)</f>
        <v>#VALUE!</v>
      </c>
      <c r="BM1">
        <f>IF('Team Info'!B:B,"AAAAAFvr+0A=",0)</f>
        <v>0</v>
      </c>
      <c r="BN1" t="e">
        <f>IF(#REF!,"AAAAAFvr+0E=",0)</f>
        <v>#REF!</v>
      </c>
      <c r="BO1" t="e">
        <f>AND(#REF!,"AAAAAFvr+0I=")</f>
        <v>#REF!</v>
      </c>
      <c r="BP1" t="e">
        <f>AND(#REF!,"AAAAAFvr+0M=")</f>
        <v>#REF!</v>
      </c>
      <c r="BQ1" t="e">
        <f>AND(#REF!,"AAAAAFvr+0Q=")</f>
        <v>#REF!</v>
      </c>
      <c r="BR1" t="e">
        <f>AND(#REF!,"AAAAAFvr+0U=")</f>
        <v>#REF!</v>
      </c>
      <c r="BS1" t="e">
        <f>AND(#REF!,"AAAAAFvr+0Y=")</f>
        <v>#REF!</v>
      </c>
      <c r="BT1" t="e">
        <f>AND(#REF!,"AAAAAFvr+0c=")</f>
        <v>#REF!</v>
      </c>
      <c r="BU1" t="e">
        <f>AND(#REF!,"AAAAAFvr+0g=")</f>
        <v>#REF!</v>
      </c>
      <c r="BV1" t="e">
        <f>IF(#REF!,"AAAAAFvr+0k=",0)</f>
        <v>#REF!</v>
      </c>
      <c r="BW1" t="e">
        <f>AND(#REF!,"AAAAAFvr+0o=")</f>
        <v>#REF!</v>
      </c>
      <c r="BX1" t="e">
        <f>AND(#REF!,"AAAAAFvr+0s=")</f>
        <v>#REF!</v>
      </c>
      <c r="BY1" t="e">
        <f>AND(#REF!,"AAAAAFvr+0w=")</f>
        <v>#REF!</v>
      </c>
      <c r="BZ1" t="e">
        <f>AND(#REF!,"AAAAAFvr+00=")</f>
        <v>#REF!</v>
      </c>
      <c r="CA1" t="e">
        <f>AND(#REF!,"AAAAAFvr+04=")</f>
        <v>#REF!</v>
      </c>
      <c r="CB1" t="e">
        <f>AND(#REF!,"AAAAAFvr+08=")</f>
        <v>#REF!</v>
      </c>
      <c r="CC1" t="e">
        <f>AND(#REF!,"AAAAAFvr+1A=")</f>
        <v>#REF!</v>
      </c>
      <c r="CD1" t="e">
        <f>IF(#REF!,"AAAAAFvr+1E=",0)</f>
        <v>#REF!</v>
      </c>
      <c r="CE1" t="e">
        <f>AND(#REF!,"AAAAAFvr+1I=")</f>
        <v>#REF!</v>
      </c>
      <c r="CF1" t="e">
        <f>AND(#REF!,"AAAAAFvr+1M=")</f>
        <v>#REF!</v>
      </c>
      <c r="CG1" t="e">
        <f>AND(#REF!,"AAAAAFvr+1Q=")</f>
        <v>#REF!</v>
      </c>
      <c r="CH1" t="e">
        <f>AND(#REF!,"AAAAAFvr+1U=")</f>
        <v>#REF!</v>
      </c>
      <c r="CI1" t="e">
        <f>AND(#REF!,"AAAAAFvr+1Y=")</f>
        <v>#REF!</v>
      </c>
      <c r="CJ1" t="e">
        <f>AND(#REF!,"AAAAAFvr+1c=")</f>
        <v>#REF!</v>
      </c>
      <c r="CK1" t="e">
        <f>AND(#REF!,"AAAAAFvr+1g=")</f>
        <v>#REF!</v>
      </c>
      <c r="CL1" t="e">
        <f>IF(#REF!,"AAAAAFvr+1k=",0)</f>
        <v>#REF!</v>
      </c>
      <c r="CM1" t="e">
        <f>AND(#REF!,"AAAAAFvr+1o=")</f>
        <v>#REF!</v>
      </c>
      <c r="CN1" t="e">
        <f>AND(#REF!,"AAAAAFvr+1s=")</f>
        <v>#REF!</v>
      </c>
      <c r="CO1" t="e">
        <f>AND(#REF!,"AAAAAFvr+1w=")</f>
        <v>#REF!</v>
      </c>
      <c r="CP1" t="e">
        <f>AND(#REF!,"AAAAAFvr+10=")</f>
        <v>#REF!</v>
      </c>
      <c r="CQ1" t="e">
        <f>AND(#REF!,"AAAAAFvr+14=")</f>
        <v>#REF!</v>
      </c>
      <c r="CR1" t="e">
        <f>AND(#REF!,"AAAAAFvr+18=")</f>
        <v>#REF!</v>
      </c>
      <c r="CS1" t="e">
        <f>AND(#REF!,"AAAAAFvr+2A=")</f>
        <v>#REF!</v>
      </c>
      <c r="CT1" t="e">
        <f>IF(#REF!,"AAAAAFvr+2E=",0)</f>
        <v>#REF!</v>
      </c>
      <c r="CU1" t="e">
        <f>AND(#REF!,"AAAAAFvr+2I=")</f>
        <v>#REF!</v>
      </c>
      <c r="CV1" t="e">
        <f>AND(#REF!,"AAAAAFvr+2M=")</f>
        <v>#REF!</v>
      </c>
      <c r="CW1" t="e">
        <f>AND(#REF!,"AAAAAFvr+2Q=")</f>
        <v>#REF!</v>
      </c>
      <c r="CX1" t="e">
        <f>AND(#REF!,"AAAAAFvr+2U=")</f>
        <v>#REF!</v>
      </c>
      <c r="CY1" t="e">
        <f>AND(#REF!,"AAAAAFvr+2Y=")</f>
        <v>#REF!</v>
      </c>
      <c r="CZ1" t="e">
        <f>AND(#REF!,"AAAAAFvr+2c=")</f>
        <v>#REF!</v>
      </c>
      <c r="DA1" t="e">
        <f>AND(#REF!,"AAAAAFvr+2g=")</f>
        <v>#REF!</v>
      </c>
      <c r="DB1" t="e">
        <f>IF(#REF!,"AAAAAFvr+2k=",0)</f>
        <v>#REF!</v>
      </c>
      <c r="DC1" t="e">
        <f>AND(#REF!,"AAAAAFvr+2o=")</f>
        <v>#REF!</v>
      </c>
      <c r="DD1" t="e">
        <f>AND(#REF!,"AAAAAFvr+2s=")</f>
        <v>#REF!</v>
      </c>
      <c r="DE1" t="e">
        <f>AND(#REF!,"AAAAAFvr+2w=")</f>
        <v>#REF!</v>
      </c>
      <c r="DF1" t="e">
        <f>AND(#REF!,"AAAAAFvr+20=")</f>
        <v>#REF!</v>
      </c>
      <c r="DG1" t="e">
        <f>AND(#REF!,"AAAAAFvr+24=")</f>
        <v>#REF!</v>
      </c>
      <c r="DH1" t="e">
        <f>AND(#REF!,"AAAAAFvr+28=")</f>
        <v>#REF!</v>
      </c>
      <c r="DI1" t="e">
        <f>AND(#REF!,"AAAAAFvr+3A=")</f>
        <v>#REF!</v>
      </c>
      <c r="DJ1" t="e">
        <f>IF(#REF!,"AAAAAFvr+3E=",0)</f>
        <v>#REF!</v>
      </c>
      <c r="DK1" t="e">
        <f>AND(#REF!,"AAAAAFvr+3I=")</f>
        <v>#REF!</v>
      </c>
      <c r="DL1" t="e">
        <f>AND(#REF!,"AAAAAFvr+3M=")</f>
        <v>#REF!</v>
      </c>
      <c r="DM1" t="e">
        <f>AND(#REF!,"AAAAAFvr+3Q=")</f>
        <v>#REF!</v>
      </c>
      <c r="DN1" t="e">
        <f>AND(#REF!,"AAAAAFvr+3U=")</f>
        <v>#REF!</v>
      </c>
      <c r="DO1" t="e">
        <f>AND(#REF!,"AAAAAFvr+3Y=")</f>
        <v>#REF!</v>
      </c>
      <c r="DP1" t="e">
        <f>AND(#REF!,"AAAAAFvr+3c=")</f>
        <v>#REF!</v>
      </c>
      <c r="DQ1" t="e">
        <f>AND(#REF!,"AAAAAFvr+3g=")</f>
        <v>#REF!</v>
      </c>
      <c r="DR1" t="e">
        <f>IF(#REF!,"AAAAAFvr+3k=",0)</f>
        <v>#REF!</v>
      </c>
      <c r="DS1" t="e">
        <f>AND(#REF!,"AAAAAFvr+3o=")</f>
        <v>#REF!</v>
      </c>
      <c r="DT1" t="e">
        <f>AND(#REF!,"AAAAAFvr+3s=")</f>
        <v>#REF!</v>
      </c>
      <c r="DU1" t="e">
        <f>AND(#REF!,"AAAAAFvr+3w=")</f>
        <v>#REF!</v>
      </c>
      <c r="DV1" t="e">
        <f>AND(#REF!,"AAAAAFvr+30=")</f>
        <v>#REF!</v>
      </c>
      <c r="DW1" t="e">
        <f>AND(#REF!,"AAAAAFvr+34=")</f>
        <v>#REF!</v>
      </c>
      <c r="DX1" t="e">
        <f>AND(#REF!,"AAAAAFvr+38=")</f>
        <v>#REF!</v>
      </c>
      <c r="DY1" t="e">
        <f>AND(#REF!,"AAAAAFvr+4A=")</f>
        <v>#REF!</v>
      </c>
      <c r="DZ1" t="e">
        <f>IF(#REF!,"AAAAAFvr+4E=",0)</f>
        <v>#REF!</v>
      </c>
      <c r="EA1" t="e">
        <f>AND(#REF!,"AAAAAFvr+4I=")</f>
        <v>#REF!</v>
      </c>
      <c r="EB1" t="e">
        <f>AND(#REF!,"AAAAAFvr+4M=")</f>
        <v>#REF!</v>
      </c>
      <c r="EC1" t="e">
        <f>AND(#REF!,"AAAAAFvr+4Q=")</f>
        <v>#REF!</v>
      </c>
      <c r="ED1" t="e">
        <f>AND(#REF!,"AAAAAFvr+4U=")</f>
        <v>#REF!</v>
      </c>
      <c r="EE1" t="e">
        <f>AND(#REF!,"AAAAAFvr+4Y=")</f>
        <v>#REF!</v>
      </c>
      <c r="EF1" t="e">
        <f>AND(#REF!,"AAAAAFvr+4c=")</f>
        <v>#REF!</v>
      </c>
      <c r="EG1" t="e">
        <f>AND(#REF!,"AAAAAFvr+4g=")</f>
        <v>#REF!</v>
      </c>
      <c r="EH1" t="e">
        <f>IF(#REF!,"AAAAAFvr+4k=",0)</f>
        <v>#REF!</v>
      </c>
      <c r="EI1" t="e">
        <f>AND(#REF!,"AAAAAFvr+4o=")</f>
        <v>#REF!</v>
      </c>
      <c r="EJ1" t="e">
        <f>AND(#REF!,"AAAAAFvr+4s=")</f>
        <v>#REF!</v>
      </c>
      <c r="EK1" t="e">
        <f>AND(#REF!,"AAAAAFvr+4w=")</f>
        <v>#REF!</v>
      </c>
      <c r="EL1" t="e">
        <f>AND(#REF!,"AAAAAFvr+40=")</f>
        <v>#REF!</v>
      </c>
      <c r="EM1" t="e">
        <f>AND(#REF!,"AAAAAFvr+44=")</f>
        <v>#REF!</v>
      </c>
      <c r="EN1" t="e">
        <f>AND(#REF!,"AAAAAFvr+48=")</f>
        <v>#REF!</v>
      </c>
      <c r="EO1" t="e">
        <f>AND(#REF!,"AAAAAFvr+5A=")</f>
        <v>#REF!</v>
      </c>
      <c r="EP1" t="e">
        <f>IF(#REF!,"AAAAAFvr+5E=",0)</f>
        <v>#REF!</v>
      </c>
      <c r="EQ1" t="e">
        <f>AND(#REF!,"AAAAAFvr+5I=")</f>
        <v>#REF!</v>
      </c>
      <c r="ER1" t="e">
        <f>AND(#REF!,"AAAAAFvr+5M=")</f>
        <v>#REF!</v>
      </c>
      <c r="ES1" t="e">
        <f>AND(#REF!,"AAAAAFvr+5Q=")</f>
        <v>#REF!</v>
      </c>
      <c r="ET1" t="e">
        <f>AND(#REF!,"AAAAAFvr+5U=")</f>
        <v>#REF!</v>
      </c>
      <c r="EU1" t="e">
        <f>AND(#REF!,"AAAAAFvr+5Y=")</f>
        <v>#REF!</v>
      </c>
      <c r="EV1" t="e">
        <f>AND(#REF!,"AAAAAFvr+5c=")</f>
        <v>#REF!</v>
      </c>
      <c r="EW1" t="e">
        <f>AND(#REF!,"AAAAAFvr+5g=")</f>
        <v>#REF!</v>
      </c>
      <c r="EX1" t="e">
        <f>IF(#REF!,"AAAAAFvr+5k=",0)</f>
        <v>#REF!</v>
      </c>
      <c r="EY1" t="e">
        <f>AND(#REF!,"AAAAAFvr+5o=")</f>
        <v>#REF!</v>
      </c>
      <c r="EZ1" t="e">
        <f>AND(#REF!,"AAAAAFvr+5s=")</f>
        <v>#REF!</v>
      </c>
      <c r="FA1" t="e">
        <f>AND(#REF!,"AAAAAFvr+5w=")</f>
        <v>#REF!</v>
      </c>
      <c r="FB1" t="e">
        <f>AND(#REF!,"AAAAAFvr+50=")</f>
        <v>#REF!</v>
      </c>
      <c r="FC1" t="e">
        <f>AND(#REF!,"AAAAAFvr+54=")</f>
        <v>#REF!</v>
      </c>
      <c r="FD1" t="e">
        <f>AND(#REF!,"AAAAAFvr+58=")</f>
        <v>#REF!</v>
      </c>
      <c r="FE1" t="e">
        <f>AND(#REF!,"AAAAAFvr+6A=")</f>
        <v>#REF!</v>
      </c>
      <c r="FF1" t="e">
        <f>IF(#REF!,"AAAAAFvr+6E=",0)</f>
        <v>#REF!</v>
      </c>
      <c r="FG1" t="e">
        <f>AND(#REF!,"AAAAAFvr+6I=")</f>
        <v>#REF!</v>
      </c>
      <c r="FH1" t="e">
        <f>AND(#REF!,"AAAAAFvr+6M=")</f>
        <v>#REF!</v>
      </c>
      <c r="FI1" t="e">
        <f>AND(#REF!,"AAAAAFvr+6Q=")</f>
        <v>#REF!</v>
      </c>
      <c r="FJ1" t="e">
        <f>AND(#REF!,"AAAAAFvr+6U=")</f>
        <v>#REF!</v>
      </c>
      <c r="FK1" t="e">
        <f>AND(#REF!,"AAAAAFvr+6Y=")</f>
        <v>#REF!</v>
      </c>
      <c r="FL1" t="e">
        <f>AND(#REF!,"AAAAAFvr+6c=")</f>
        <v>#REF!</v>
      </c>
      <c r="FM1" t="e">
        <f>AND(#REF!,"AAAAAFvr+6g=")</f>
        <v>#REF!</v>
      </c>
      <c r="FN1" t="e">
        <f>IF(#REF!,"AAAAAFvr+6k=",0)</f>
        <v>#REF!</v>
      </c>
      <c r="FO1" t="e">
        <f>AND(#REF!,"AAAAAFvr+6o=")</f>
        <v>#REF!</v>
      </c>
      <c r="FP1" t="e">
        <f>AND(#REF!,"AAAAAFvr+6s=")</f>
        <v>#REF!</v>
      </c>
      <c r="FQ1" t="e">
        <f>AND(#REF!,"AAAAAFvr+6w=")</f>
        <v>#REF!</v>
      </c>
      <c r="FR1" t="e">
        <f>AND(#REF!,"AAAAAFvr+60=")</f>
        <v>#REF!</v>
      </c>
      <c r="FS1" t="e">
        <f>AND(#REF!,"AAAAAFvr+64=")</f>
        <v>#REF!</v>
      </c>
      <c r="FT1" t="e">
        <f>AND(#REF!,"AAAAAFvr+68=")</f>
        <v>#REF!</v>
      </c>
      <c r="FU1" t="e">
        <f>AND(#REF!,"AAAAAFvr+7A=")</f>
        <v>#REF!</v>
      </c>
      <c r="FV1" t="e">
        <f>IF(#REF!,"AAAAAFvr+7E=",0)</f>
        <v>#REF!</v>
      </c>
      <c r="FW1" t="e">
        <f>AND(#REF!,"AAAAAFvr+7I=")</f>
        <v>#REF!</v>
      </c>
      <c r="FX1" t="e">
        <f>AND(#REF!,"AAAAAFvr+7M=")</f>
        <v>#REF!</v>
      </c>
      <c r="FY1" t="e">
        <f>AND(#REF!,"AAAAAFvr+7Q=")</f>
        <v>#REF!</v>
      </c>
      <c r="FZ1" t="e">
        <f>AND(#REF!,"AAAAAFvr+7U=")</f>
        <v>#REF!</v>
      </c>
      <c r="GA1" t="e">
        <f>AND(#REF!,"AAAAAFvr+7Y=")</f>
        <v>#REF!</v>
      </c>
      <c r="GB1" t="e">
        <f>AND(#REF!,"AAAAAFvr+7c=")</f>
        <v>#REF!</v>
      </c>
      <c r="GC1" t="e">
        <f>AND(#REF!,"AAAAAFvr+7g=")</f>
        <v>#REF!</v>
      </c>
      <c r="GD1" t="e">
        <f>IF(#REF!,"AAAAAFvr+7k=",0)</f>
        <v>#REF!</v>
      </c>
      <c r="GE1" t="e">
        <f>AND(#REF!,"AAAAAFvr+7o=")</f>
        <v>#REF!</v>
      </c>
      <c r="GF1" t="e">
        <f>AND(#REF!,"AAAAAFvr+7s=")</f>
        <v>#REF!</v>
      </c>
      <c r="GG1" t="e">
        <f>AND(#REF!,"AAAAAFvr+7w=")</f>
        <v>#REF!</v>
      </c>
      <c r="GH1" t="e">
        <f>AND(#REF!,"AAAAAFvr+70=")</f>
        <v>#REF!</v>
      </c>
      <c r="GI1" t="e">
        <f>AND(#REF!,"AAAAAFvr+74=")</f>
        <v>#REF!</v>
      </c>
      <c r="GJ1" t="e">
        <f>AND(#REF!,"AAAAAFvr+78=")</f>
        <v>#REF!</v>
      </c>
      <c r="GK1" t="e">
        <f>AND(#REF!,"AAAAAFvr+8A=")</f>
        <v>#REF!</v>
      </c>
      <c r="GL1" t="e">
        <f>IF(#REF!,"AAAAAFvr+8E=",0)</f>
        <v>#REF!</v>
      </c>
      <c r="GM1" t="e">
        <f>AND(#REF!,"AAAAAFvr+8I=")</f>
        <v>#REF!</v>
      </c>
      <c r="GN1" t="e">
        <f>AND(#REF!,"AAAAAFvr+8M=")</f>
        <v>#REF!</v>
      </c>
      <c r="GO1" t="e">
        <f>AND(#REF!,"AAAAAFvr+8Q=")</f>
        <v>#REF!</v>
      </c>
      <c r="GP1" t="e">
        <f>AND(#REF!,"AAAAAFvr+8U=")</f>
        <v>#REF!</v>
      </c>
      <c r="GQ1" t="e">
        <f>AND(#REF!,"AAAAAFvr+8Y=")</f>
        <v>#REF!</v>
      </c>
      <c r="GR1" t="e">
        <f>AND(#REF!,"AAAAAFvr+8c=")</f>
        <v>#REF!</v>
      </c>
      <c r="GS1" t="e">
        <f>AND(#REF!,"AAAAAFvr+8g=")</f>
        <v>#REF!</v>
      </c>
      <c r="GT1" t="e">
        <f>IF(#REF!,"AAAAAFvr+8k=",0)</f>
        <v>#REF!</v>
      </c>
      <c r="GU1" t="e">
        <f>AND(#REF!,"AAAAAFvr+8o=")</f>
        <v>#REF!</v>
      </c>
      <c r="GV1" t="e">
        <f>AND(#REF!,"AAAAAFvr+8s=")</f>
        <v>#REF!</v>
      </c>
      <c r="GW1" t="e">
        <f>AND(#REF!,"AAAAAFvr+8w=")</f>
        <v>#REF!</v>
      </c>
      <c r="GX1" t="e">
        <f>AND(#REF!,"AAAAAFvr+80=")</f>
        <v>#REF!</v>
      </c>
      <c r="GY1" t="e">
        <f>AND(#REF!,"AAAAAFvr+84=")</f>
        <v>#REF!</v>
      </c>
      <c r="GZ1" t="e">
        <f>AND(#REF!,"AAAAAFvr+88=")</f>
        <v>#REF!</v>
      </c>
      <c r="HA1" t="e">
        <f>AND(#REF!,"AAAAAFvr+9A=")</f>
        <v>#REF!</v>
      </c>
      <c r="HB1" t="e">
        <f>IF(#REF!,"AAAAAFvr+9E=",0)</f>
        <v>#REF!</v>
      </c>
      <c r="HC1" t="e">
        <f>AND(#REF!,"AAAAAFvr+9I=")</f>
        <v>#REF!</v>
      </c>
      <c r="HD1" t="e">
        <f>AND(#REF!,"AAAAAFvr+9M=")</f>
        <v>#REF!</v>
      </c>
      <c r="HE1" t="e">
        <f>AND(#REF!,"AAAAAFvr+9Q=")</f>
        <v>#REF!</v>
      </c>
      <c r="HF1" t="e">
        <f>AND(#REF!,"AAAAAFvr+9U=")</f>
        <v>#REF!</v>
      </c>
      <c r="HG1" t="e">
        <f>AND(#REF!,"AAAAAFvr+9Y=")</f>
        <v>#REF!</v>
      </c>
      <c r="HH1" t="e">
        <f>AND(#REF!,"AAAAAFvr+9c=")</f>
        <v>#REF!</v>
      </c>
      <c r="HI1" t="e">
        <f>AND(#REF!,"AAAAAFvr+9g=")</f>
        <v>#REF!</v>
      </c>
      <c r="HJ1" t="e">
        <f>IF(#REF!,"AAAAAFvr+9k=",0)</f>
        <v>#REF!</v>
      </c>
      <c r="HK1" t="e">
        <f>AND(#REF!,"AAAAAFvr+9o=")</f>
        <v>#REF!</v>
      </c>
      <c r="HL1" t="e">
        <f>AND(#REF!,"AAAAAFvr+9s=")</f>
        <v>#REF!</v>
      </c>
      <c r="HM1" t="e">
        <f>AND(#REF!,"AAAAAFvr+9w=")</f>
        <v>#REF!</v>
      </c>
      <c r="HN1" t="e">
        <f>AND(#REF!,"AAAAAFvr+90=")</f>
        <v>#REF!</v>
      </c>
      <c r="HO1" t="e">
        <f>AND(#REF!,"AAAAAFvr+94=")</f>
        <v>#REF!</v>
      </c>
      <c r="HP1" t="e">
        <f>AND(#REF!,"AAAAAFvr+98=")</f>
        <v>#REF!</v>
      </c>
      <c r="HQ1" t="e">
        <f>AND(#REF!,"AAAAAFvr++A=")</f>
        <v>#REF!</v>
      </c>
      <c r="HR1" t="e">
        <f>IF(#REF!,"AAAAAFvr++E=",0)</f>
        <v>#REF!</v>
      </c>
      <c r="HS1" t="e">
        <f>AND(#REF!,"AAAAAFvr++I=")</f>
        <v>#REF!</v>
      </c>
      <c r="HT1" t="e">
        <f>AND(#REF!,"AAAAAFvr++M=")</f>
        <v>#REF!</v>
      </c>
      <c r="HU1" t="e">
        <f>AND(#REF!,"AAAAAFvr++Q=")</f>
        <v>#REF!</v>
      </c>
      <c r="HV1" t="e">
        <f>AND(#REF!,"AAAAAFvr++U=")</f>
        <v>#REF!</v>
      </c>
      <c r="HW1" t="e">
        <f>AND(#REF!,"AAAAAFvr++Y=")</f>
        <v>#REF!</v>
      </c>
      <c r="HX1" t="e">
        <f>AND(#REF!,"AAAAAFvr++c=")</f>
        <v>#REF!</v>
      </c>
      <c r="HY1" t="e">
        <f>AND(#REF!,"AAAAAFvr++g=")</f>
        <v>#REF!</v>
      </c>
      <c r="HZ1" t="e">
        <f>IF(#REF!,"AAAAAFvr++k=",0)</f>
        <v>#REF!</v>
      </c>
      <c r="IA1" t="e">
        <f>AND(#REF!,"AAAAAFvr++o=")</f>
        <v>#REF!</v>
      </c>
      <c r="IB1" t="e">
        <f>AND(#REF!,"AAAAAFvr++s=")</f>
        <v>#REF!</v>
      </c>
      <c r="IC1" t="e">
        <f>AND(#REF!,"AAAAAFvr++w=")</f>
        <v>#REF!</v>
      </c>
      <c r="ID1" t="e">
        <f>AND(#REF!,"AAAAAFvr++0=")</f>
        <v>#REF!</v>
      </c>
      <c r="IE1" t="e">
        <f>AND(#REF!,"AAAAAFvr++4=")</f>
        <v>#REF!</v>
      </c>
      <c r="IF1" t="e">
        <f>AND(#REF!,"AAAAAFvr++8=")</f>
        <v>#REF!</v>
      </c>
      <c r="IG1" t="e">
        <f>AND(#REF!,"AAAAAFvr+/A=")</f>
        <v>#REF!</v>
      </c>
      <c r="IH1" t="e">
        <f>IF(#REF!,"AAAAAFvr+/E=",0)</f>
        <v>#REF!</v>
      </c>
      <c r="II1" t="e">
        <f>AND(#REF!,"AAAAAFvr+/I=")</f>
        <v>#REF!</v>
      </c>
      <c r="IJ1" t="e">
        <f>AND(#REF!,"AAAAAFvr+/M=")</f>
        <v>#REF!</v>
      </c>
      <c r="IK1" t="e">
        <f>AND(#REF!,"AAAAAFvr+/Q=")</f>
        <v>#REF!</v>
      </c>
      <c r="IL1" t="e">
        <f>AND(#REF!,"AAAAAFvr+/U=")</f>
        <v>#REF!</v>
      </c>
      <c r="IM1" t="e">
        <f>AND(#REF!,"AAAAAFvr+/Y=")</f>
        <v>#REF!</v>
      </c>
      <c r="IN1" t="e">
        <f>AND(#REF!,"AAAAAFvr+/c=")</f>
        <v>#REF!</v>
      </c>
      <c r="IO1" t="e">
        <f>AND(#REF!,"AAAAAFvr+/g=")</f>
        <v>#REF!</v>
      </c>
      <c r="IP1" t="e">
        <f>IF(#REF!,"AAAAAFvr+/k=",0)</f>
        <v>#REF!</v>
      </c>
      <c r="IQ1" t="e">
        <f>IF(#REF!,"AAAAAFvr+/o=",0)</f>
        <v>#REF!</v>
      </c>
      <c r="IR1" t="e">
        <f>IF(#REF!,"AAAAAFvr+/s=",0)</f>
        <v>#REF!</v>
      </c>
      <c r="IS1" t="e">
        <f>IF(#REF!,"AAAAAFvr+/w=",0)</f>
        <v>#REF!</v>
      </c>
      <c r="IT1" t="e">
        <f>IF(#REF!,"AAAAAFvr+/0=",0)</f>
        <v>#REF!</v>
      </c>
      <c r="IU1" t="e">
        <f>IF(#REF!,"AAAAAFvr+/4=",0)</f>
        <v>#REF!</v>
      </c>
      <c r="IV1" t="e">
        <f>IF(#REF!,"AAAAAFvr+/8=",0)</f>
        <v>#REF!</v>
      </c>
    </row>
    <row r="2" spans="1:256" x14ac:dyDescent="0.25">
      <c r="A2" t="e">
        <f>IF(Competitor!1:1,"AAAAAB6PoAA=",0)</f>
        <v>#VALUE!</v>
      </c>
      <c r="B2" t="e">
        <f>AND(Competitor!A1,"AAAAAB6PoAE=")</f>
        <v>#VALUE!</v>
      </c>
      <c r="C2" t="e">
        <f>AND(Competitor!B1,"AAAAAB6PoAI=")</f>
        <v>#VALUE!</v>
      </c>
      <c r="D2" t="e">
        <f>AND(Competitor!C1,"AAAAAB6PoAM=")</f>
        <v>#VALUE!</v>
      </c>
      <c r="E2" t="e">
        <f>AND(Competitor!D1,"AAAAAB6PoAQ=")</f>
        <v>#VALUE!</v>
      </c>
      <c r="F2" t="e">
        <f>AND(Competitor!E1,"AAAAAB6PoAU=")</f>
        <v>#VALUE!</v>
      </c>
      <c r="G2" t="e">
        <f>AND(Competitor!F1,"AAAAAB6PoAY=")</f>
        <v>#VALUE!</v>
      </c>
      <c r="H2" t="e">
        <f>AND(Competitor!G1,"AAAAAB6PoAc=")</f>
        <v>#VALUE!</v>
      </c>
      <c r="I2" t="e">
        <f>AND(Competitor!H1,"AAAAAB6PoAg=")</f>
        <v>#VALUE!</v>
      </c>
      <c r="J2" t="e">
        <f>AND(Competitor!I1,"AAAAAB6PoAk=")</f>
        <v>#VALUE!</v>
      </c>
      <c r="K2" t="e">
        <f>AND(Competitor!J1,"AAAAAB6PoAo=")</f>
        <v>#VALUE!</v>
      </c>
      <c r="L2" t="e">
        <f>AND(Competitor!K1,"AAAAAB6PoAs=")</f>
        <v>#VALUE!</v>
      </c>
      <c r="M2" t="e">
        <f>AND(Competitor!L1,"AAAAAB6PoAw=")</f>
        <v>#VALUE!</v>
      </c>
      <c r="N2" t="e">
        <f>AND(Competitor!M1,"AAAAAB6PoA0=")</f>
        <v>#VALUE!</v>
      </c>
      <c r="O2" t="e">
        <f>AND(Competitor!N1,"AAAAAB6PoA4=")</f>
        <v>#VALUE!</v>
      </c>
      <c r="P2" t="e">
        <f>AND(Competitor!O1,"AAAAAB6PoA8=")</f>
        <v>#VALUE!</v>
      </c>
      <c r="Q2" t="e">
        <f>AND(Competitor!P1,"AAAAAB6PoBA=")</f>
        <v>#VALUE!</v>
      </c>
      <c r="R2">
        <f>IF(Competitor!3:3,"AAAAAB6PoBE=",0)</f>
        <v>0</v>
      </c>
      <c r="S2" t="e">
        <f>AND(Competitor!A3,"AAAAAB6PoBI=")</f>
        <v>#VALUE!</v>
      </c>
      <c r="T2" t="e">
        <f>AND(Competitor!B3,"AAAAAB6PoBM=")</f>
        <v>#VALUE!</v>
      </c>
      <c r="U2" t="e">
        <f>AND(Competitor!C3,"AAAAAB6PoBQ=")</f>
        <v>#VALUE!</v>
      </c>
      <c r="V2" t="e">
        <f>AND(Competitor!D3,"AAAAAB6PoBU=")</f>
        <v>#VALUE!</v>
      </c>
      <c r="W2" t="e">
        <f>AND(Competitor!E3,"AAAAAB6PoBY=")</f>
        <v>#VALUE!</v>
      </c>
      <c r="X2" t="e">
        <f>AND(Competitor!F3,"AAAAAB6PoBc=")</f>
        <v>#VALUE!</v>
      </c>
      <c r="Y2" t="e">
        <f ca="1">AND(Competitor!G3,"AAAAAB6PoBg=")</f>
        <v>#VALUE!</v>
      </c>
      <c r="Z2" t="e">
        <f>AND(Competitor!H3,"AAAAAB6PoBk=")</f>
        <v>#VALUE!</v>
      </c>
      <c r="AA2" t="e">
        <f>AND(Competitor!I3,"AAAAAB6PoBo=")</f>
        <v>#VALUE!</v>
      </c>
      <c r="AB2" t="e">
        <f>AND(Competitor!J3,"AAAAAB6PoBs=")</f>
        <v>#VALUE!</v>
      </c>
      <c r="AC2" t="e">
        <f>AND(Competitor!K3,"AAAAAB6PoBw=")</f>
        <v>#VALUE!</v>
      </c>
      <c r="AD2" t="e">
        <f>AND(Competitor!L3,"AAAAAB6PoB0=")</f>
        <v>#VALUE!</v>
      </c>
      <c r="AE2" t="e">
        <f>AND(Competitor!M3,"AAAAAB6PoB4=")</f>
        <v>#VALUE!</v>
      </c>
      <c r="AF2" t="e">
        <f>AND(Competitor!N3,"AAAAAB6PoB8=")</f>
        <v>#VALUE!</v>
      </c>
      <c r="AG2" t="e">
        <f>AND(Competitor!O3,"AAAAAB6PoCA=")</f>
        <v>#VALUE!</v>
      </c>
      <c r="AH2" t="e">
        <f>AND(Competitor!P3,"AAAAAB6PoCE=")</f>
        <v>#VALUE!</v>
      </c>
      <c r="AI2">
        <f>IF(Competitor!4:4,"AAAAAB6PoCI=",0)</f>
        <v>0</v>
      </c>
      <c r="AJ2" t="b">
        <f>AND(Competitor!A4,"AAAAAB6PoCM=")</f>
        <v>1</v>
      </c>
      <c r="AK2" t="e">
        <f>AND(Competitor!B4,"AAAAAB6PoCQ=")</f>
        <v>#VALUE!</v>
      </c>
      <c r="AL2" t="e">
        <f>AND(Competitor!C4,"AAAAAB6PoCU=")</f>
        <v>#VALUE!</v>
      </c>
      <c r="AM2" t="e">
        <f>AND(Competitor!D4,"AAAAAB6PoCY=")</f>
        <v>#VALUE!</v>
      </c>
      <c r="AN2" t="e">
        <f>AND(Competitor!E4,"AAAAAB6PoCc=")</f>
        <v>#VALUE!</v>
      </c>
      <c r="AO2" t="e">
        <f>AND(Competitor!F4,"AAAAAB6PoCg=")</f>
        <v>#VALUE!</v>
      </c>
      <c r="AP2" t="b">
        <f>AND(Competitor!G4,"AAAAAB6PoCk=")</f>
        <v>0</v>
      </c>
      <c r="AQ2" t="e">
        <f>AND(Competitor!H4,"AAAAAB6PoCo=")</f>
        <v>#VALUE!</v>
      </c>
      <c r="AR2" t="e">
        <f>AND(Competitor!I4,"AAAAAB6PoCs=")</f>
        <v>#VALUE!</v>
      </c>
      <c r="AS2" t="e">
        <f>AND(Competitor!J4,"AAAAAB6PoCw=")</f>
        <v>#VALUE!</v>
      </c>
      <c r="AT2" t="e">
        <f>AND(Competitor!K4,"AAAAAB6PoC0=")</f>
        <v>#VALUE!</v>
      </c>
      <c r="AU2" t="e">
        <f>AND(Competitor!L4,"AAAAAB6PoC4=")</f>
        <v>#VALUE!</v>
      </c>
      <c r="AV2" t="e">
        <f>AND(Competitor!M4,"AAAAAB6PoC8=")</f>
        <v>#VALUE!</v>
      </c>
      <c r="AW2" t="b">
        <f ca="1">AND(Competitor!N4,"AAAAAB6PoDA=")</f>
        <v>1</v>
      </c>
      <c r="AX2" t="e">
        <f>AND(Competitor!O4,"AAAAAB6PoDE=")</f>
        <v>#VALUE!</v>
      </c>
      <c r="AY2" t="e">
        <f>AND(Competitor!P4,"AAAAAB6PoDI=")</f>
        <v>#VALUE!</v>
      </c>
      <c r="AZ2">
        <f>IF(Competitor!5:5,"AAAAAB6PoDM=",0)</f>
        <v>0</v>
      </c>
      <c r="BA2" t="b">
        <f>AND(Competitor!A5,"AAAAAB6PoDQ=")</f>
        <v>1</v>
      </c>
      <c r="BB2" t="e">
        <f>AND(Competitor!B5,"AAAAAB6PoDU=")</f>
        <v>#VALUE!</v>
      </c>
      <c r="BC2" t="e">
        <f>AND(Competitor!C5,"AAAAAB6PoDY=")</f>
        <v>#VALUE!</v>
      </c>
      <c r="BD2" t="e">
        <f>AND(Competitor!D5,"AAAAAB6PoDc=")</f>
        <v>#VALUE!</v>
      </c>
      <c r="BE2" t="e">
        <f>AND(Competitor!E5,"AAAAAB6PoDg=")</f>
        <v>#VALUE!</v>
      </c>
      <c r="BF2" t="e">
        <f>AND(Competitor!F5,"AAAAAB6PoDk=")</f>
        <v>#VALUE!</v>
      </c>
      <c r="BG2" t="b">
        <f>AND(Competitor!G5,"AAAAAB6PoDo=")</f>
        <v>0</v>
      </c>
      <c r="BH2" t="e">
        <f>AND(Competitor!H5,"AAAAAB6PoDs=")</f>
        <v>#VALUE!</v>
      </c>
      <c r="BI2" t="e">
        <f>AND(Competitor!I5,"AAAAAB6PoDw=")</f>
        <v>#VALUE!</v>
      </c>
      <c r="BJ2" t="e">
        <f>AND(Competitor!J5,"AAAAAB6PoD0=")</f>
        <v>#VALUE!</v>
      </c>
      <c r="BK2" t="e">
        <f>AND(Competitor!K5,"AAAAAB6PoD4=")</f>
        <v>#VALUE!</v>
      </c>
      <c r="BL2" t="e">
        <f>AND(Competitor!L5,"AAAAAB6PoD8=")</f>
        <v>#VALUE!</v>
      </c>
      <c r="BM2" t="e">
        <f>AND(Competitor!M5,"AAAAAB6PoEA=")</f>
        <v>#VALUE!</v>
      </c>
      <c r="BN2" t="e">
        <f>AND(Competitor!N5,"AAAAAB6PoEE=")</f>
        <v>#VALUE!</v>
      </c>
      <c r="BO2" t="e">
        <f>AND(Competitor!O5,"AAAAAB6PoEI=")</f>
        <v>#VALUE!</v>
      </c>
      <c r="BP2" t="e">
        <f>AND(Competitor!P5,"AAAAAB6PoEM=")</f>
        <v>#VALUE!</v>
      </c>
      <c r="BQ2">
        <f>IF(Competitor!6:6,"AAAAAB6PoEQ=",0)</f>
        <v>0</v>
      </c>
      <c r="BR2" t="b">
        <f>AND(Competitor!A6,"AAAAAB6PoEU=")</f>
        <v>1</v>
      </c>
      <c r="BS2" t="e">
        <f>AND(Competitor!B6,"AAAAAB6PoEY=")</f>
        <v>#VALUE!</v>
      </c>
      <c r="BT2" t="e">
        <f>AND(Competitor!C6,"AAAAAB6PoEc=")</f>
        <v>#VALUE!</v>
      </c>
      <c r="BU2" t="e">
        <f>AND(Competitor!D6,"AAAAAB6PoEg=")</f>
        <v>#VALUE!</v>
      </c>
      <c r="BV2" t="e">
        <f>AND(Competitor!E6,"AAAAAB6PoEk=")</f>
        <v>#VALUE!</v>
      </c>
      <c r="BW2" t="e">
        <f>AND(Competitor!F6,"AAAAAB6PoEo=")</f>
        <v>#VALUE!</v>
      </c>
      <c r="BX2" t="b">
        <f>AND(Competitor!G6,"AAAAAB6PoEs=")</f>
        <v>0</v>
      </c>
      <c r="BY2" t="e">
        <f>AND(Competitor!H6,"AAAAAB6PoEw=")</f>
        <v>#VALUE!</v>
      </c>
      <c r="BZ2" t="e">
        <f>AND(Competitor!I6,"AAAAAB6PoE0=")</f>
        <v>#VALUE!</v>
      </c>
      <c r="CA2" t="e">
        <f>AND(Competitor!J6,"AAAAAB6PoE4=")</f>
        <v>#VALUE!</v>
      </c>
      <c r="CB2" t="e">
        <f>AND(Competitor!K6,"AAAAAB6PoE8=")</f>
        <v>#VALUE!</v>
      </c>
      <c r="CC2" t="e">
        <f>AND(Competitor!L6,"AAAAAB6PoFA=")</f>
        <v>#VALUE!</v>
      </c>
      <c r="CD2" t="e">
        <f>AND(Competitor!M6,"AAAAAB6PoFE=")</f>
        <v>#VALUE!</v>
      </c>
      <c r="CE2" t="e">
        <f>AND(Competitor!N6,"AAAAAB6PoFI=")</f>
        <v>#VALUE!</v>
      </c>
      <c r="CF2" t="e">
        <f>AND(Competitor!O6,"AAAAAB6PoFM=")</f>
        <v>#VALUE!</v>
      </c>
      <c r="CG2" t="e">
        <f>AND(Competitor!P6,"AAAAAB6PoFQ=")</f>
        <v>#VALUE!</v>
      </c>
      <c r="CH2">
        <f>IF(Competitor!7:7,"AAAAAB6PoFU=",0)</f>
        <v>0</v>
      </c>
      <c r="CI2" t="b">
        <f>AND(Competitor!A7,"AAAAAB6PoFY=")</f>
        <v>1</v>
      </c>
      <c r="CJ2" t="e">
        <f>AND(Competitor!B7,"AAAAAB6PoFc=")</f>
        <v>#VALUE!</v>
      </c>
      <c r="CK2" t="e">
        <f>AND(Competitor!C7,"AAAAAB6PoFg=")</f>
        <v>#VALUE!</v>
      </c>
      <c r="CL2" t="e">
        <f>AND(Competitor!D7,"AAAAAB6PoFk=")</f>
        <v>#VALUE!</v>
      </c>
      <c r="CM2" t="e">
        <f>AND(Competitor!E7,"AAAAAB6PoFo=")</f>
        <v>#VALUE!</v>
      </c>
      <c r="CN2" t="e">
        <f>AND(Competitor!F7,"AAAAAB6PoFs=")</f>
        <v>#VALUE!</v>
      </c>
      <c r="CO2" t="b">
        <f>AND(Competitor!G7,"AAAAAB6PoFw=")</f>
        <v>0</v>
      </c>
      <c r="CP2" t="e">
        <f>AND(Competitor!H7,"AAAAAB6PoF0=")</f>
        <v>#VALUE!</v>
      </c>
      <c r="CQ2" t="e">
        <f>AND(Competitor!I7,"AAAAAB6PoF4=")</f>
        <v>#VALUE!</v>
      </c>
      <c r="CR2" t="e">
        <f>AND(Competitor!J7,"AAAAAB6PoF8=")</f>
        <v>#VALUE!</v>
      </c>
      <c r="CS2" t="e">
        <f>AND(Competitor!K7,"AAAAAB6PoGA=")</f>
        <v>#VALUE!</v>
      </c>
      <c r="CT2" t="e">
        <f>AND(Competitor!L7,"AAAAAB6PoGE=")</f>
        <v>#VALUE!</v>
      </c>
      <c r="CU2" t="e">
        <f>AND(Competitor!M7,"AAAAAB6PoGI=")</f>
        <v>#VALUE!</v>
      </c>
      <c r="CV2" t="e">
        <f>AND(Competitor!N7,"AAAAAB6PoGM=")</f>
        <v>#VALUE!</v>
      </c>
      <c r="CW2" t="e">
        <f>AND(Competitor!O7,"AAAAAB6PoGQ=")</f>
        <v>#VALUE!</v>
      </c>
      <c r="CX2" t="e">
        <f>AND(Competitor!P7,"AAAAAB6PoGU=")</f>
        <v>#VALUE!</v>
      </c>
      <c r="CY2">
        <f>IF(Competitor!8:8,"AAAAAB6PoGY=",0)</f>
        <v>0</v>
      </c>
      <c r="CZ2" t="b">
        <f>AND(Competitor!A8,"AAAAAB6PoGc=")</f>
        <v>1</v>
      </c>
      <c r="DA2" t="e">
        <f>AND(Competitor!B8,"AAAAAB6PoGg=")</f>
        <v>#VALUE!</v>
      </c>
      <c r="DB2" t="e">
        <f>AND(Competitor!J8,"AAAAAB6PoGk=")</f>
        <v>#VALUE!</v>
      </c>
      <c r="DC2" t="e">
        <f>AND(Competitor!D8,"AAAAAB6PoGo=")</f>
        <v>#VALUE!</v>
      </c>
      <c r="DD2" t="e">
        <f>AND(Competitor!E8,"AAAAAB6PoGs=")</f>
        <v>#VALUE!</v>
      </c>
      <c r="DE2" t="e">
        <f>AND(Competitor!F8,"AAAAAB6PoGw=")</f>
        <v>#VALUE!</v>
      </c>
      <c r="DF2" t="b">
        <f>AND(Competitor!G8,"AAAAAB6PoG0=")</f>
        <v>0</v>
      </c>
      <c r="DG2" t="e">
        <f>AND(Competitor!H8,"AAAAAB6PoG4=")</f>
        <v>#VALUE!</v>
      </c>
      <c r="DH2" t="e">
        <f>AND(Competitor!I8,"AAAAAB6PoG8=")</f>
        <v>#VALUE!</v>
      </c>
      <c r="DI2" t="e">
        <f>AND(Competitor!#REF!,"AAAAAB6PoHA=")</f>
        <v>#REF!</v>
      </c>
      <c r="DJ2" t="e">
        <f>AND(Competitor!K8,"AAAAAB6PoHE=")</f>
        <v>#VALUE!</v>
      </c>
      <c r="DK2" t="e">
        <f>AND(Competitor!L8,"AAAAAB6PoHI=")</f>
        <v>#VALUE!</v>
      </c>
      <c r="DL2" t="e">
        <f>AND(Competitor!M8,"AAAAAB6PoHM=")</f>
        <v>#VALUE!</v>
      </c>
      <c r="DM2" t="e">
        <f>AND(Competitor!N8,"AAAAAB6PoHQ=")</f>
        <v>#VALUE!</v>
      </c>
      <c r="DN2" t="e">
        <f>AND(Competitor!O8,"AAAAAB6PoHU=")</f>
        <v>#VALUE!</v>
      </c>
      <c r="DO2" t="e">
        <f>AND(Competitor!P8,"AAAAAB6PoHY=")</f>
        <v>#VALUE!</v>
      </c>
      <c r="DP2">
        <f>IF(Competitor!9:9,"AAAAAB6PoHc=",0)</f>
        <v>0</v>
      </c>
      <c r="DQ2" t="b">
        <f>AND(Competitor!A9,"AAAAAB6PoHg=")</f>
        <v>1</v>
      </c>
      <c r="DR2" t="e">
        <f>AND(Competitor!B9,"AAAAAB6PoHk=")</f>
        <v>#VALUE!</v>
      </c>
      <c r="DS2" t="e">
        <f>AND(Competitor!C9,"AAAAAB6PoHo=")</f>
        <v>#VALUE!</v>
      </c>
      <c r="DT2" t="e">
        <f>AND(Competitor!D9,"AAAAAB6PoHs=")</f>
        <v>#VALUE!</v>
      </c>
      <c r="DU2" t="e">
        <f>AND(Competitor!E9,"AAAAAB6PoHw=")</f>
        <v>#VALUE!</v>
      </c>
      <c r="DV2" t="e">
        <f>AND(Competitor!F9,"AAAAAB6PoH0=")</f>
        <v>#VALUE!</v>
      </c>
      <c r="DW2" t="b">
        <f>AND(Competitor!G9,"AAAAAB6PoH4=")</f>
        <v>0</v>
      </c>
      <c r="DX2" t="e">
        <f>AND(Competitor!H9,"AAAAAB6PoH8=")</f>
        <v>#VALUE!</v>
      </c>
      <c r="DY2" t="e">
        <f>AND(Competitor!I9,"AAAAAB6PoIA=")</f>
        <v>#VALUE!</v>
      </c>
      <c r="DZ2" t="e">
        <f>AND(Competitor!J9,"AAAAAB6PoIE=")</f>
        <v>#VALUE!</v>
      </c>
      <c r="EA2" t="e">
        <f>AND(Competitor!K9,"AAAAAB6PoII=")</f>
        <v>#VALUE!</v>
      </c>
      <c r="EB2" t="e">
        <f>AND(Competitor!L9,"AAAAAB6PoIM=")</f>
        <v>#VALUE!</v>
      </c>
      <c r="EC2" t="e">
        <f>AND(Competitor!M9,"AAAAAB6PoIQ=")</f>
        <v>#VALUE!</v>
      </c>
      <c r="ED2" t="e">
        <f>AND(Competitor!N9,"AAAAAB6PoIU=")</f>
        <v>#VALUE!</v>
      </c>
      <c r="EE2" t="e">
        <f>AND(Competitor!O9,"AAAAAB6PoIY=")</f>
        <v>#VALUE!</v>
      </c>
      <c r="EF2" t="e">
        <f>AND(Competitor!P9,"AAAAAB6PoIc=")</f>
        <v>#VALUE!</v>
      </c>
      <c r="EG2">
        <f>IF(Competitor!10:10,"AAAAAB6PoIg=",0)</f>
        <v>0</v>
      </c>
      <c r="EH2" t="b">
        <f>AND(Competitor!A10,"AAAAAB6PoIk=")</f>
        <v>1</v>
      </c>
      <c r="EI2" t="e">
        <f>AND(Competitor!B10,"AAAAAB6PoIo=")</f>
        <v>#VALUE!</v>
      </c>
      <c r="EJ2" t="e">
        <f>AND(Competitor!C10,"AAAAAB6PoIs=")</f>
        <v>#VALUE!</v>
      </c>
      <c r="EK2" t="e">
        <f>AND(Competitor!D10,"AAAAAB6PoIw=")</f>
        <v>#VALUE!</v>
      </c>
      <c r="EL2" t="e">
        <f>AND(Competitor!E10,"AAAAAB6PoI0=")</f>
        <v>#VALUE!</v>
      </c>
      <c r="EM2" t="e">
        <f>AND(Competitor!F10,"AAAAAB6PoI4=")</f>
        <v>#VALUE!</v>
      </c>
      <c r="EN2" t="b">
        <f>AND(Competitor!G10,"AAAAAB6PoI8=")</f>
        <v>0</v>
      </c>
      <c r="EO2" t="e">
        <f>AND(Competitor!H10,"AAAAAB6PoJA=")</f>
        <v>#VALUE!</v>
      </c>
      <c r="EP2" t="e">
        <f>AND(Competitor!I10,"AAAAAB6PoJE=")</f>
        <v>#VALUE!</v>
      </c>
      <c r="EQ2" t="e">
        <f>AND(Competitor!J10,"AAAAAB6PoJI=")</f>
        <v>#VALUE!</v>
      </c>
      <c r="ER2" t="e">
        <f>AND(Competitor!K10,"AAAAAB6PoJM=")</f>
        <v>#VALUE!</v>
      </c>
      <c r="ES2" t="e">
        <f>AND(Competitor!L10,"AAAAAB6PoJQ=")</f>
        <v>#VALUE!</v>
      </c>
      <c r="ET2" t="e">
        <f>AND(Competitor!M10,"AAAAAB6PoJU=")</f>
        <v>#VALUE!</v>
      </c>
      <c r="EU2" t="e">
        <f>AND(Competitor!N10,"AAAAAB6PoJY=")</f>
        <v>#VALUE!</v>
      </c>
      <c r="EV2" t="e">
        <f>AND(Competitor!O10,"AAAAAB6PoJc=")</f>
        <v>#VALUE!</v>
      </c>
      <c r="EW2" t="e">
        <f>AND(Competitor!P10,"AAAAAB6PoJg=")</f>
        <v>#VALUE!</v>
      </c>
      <c r="EX2">
        <f>IF(Competitor!11:11,"AAAAAB6PoJk=",0)</f>
        <v>0</v>
      </c>
      <c r="EY2" t="b">
        <f>AND(Competitor!A11,"AAAAAB6PoJo=")</f>
        <v>1</v>
      </c>
      <c r="EZ2" t="e">
        <f>AND(Competitor!B11,"AAAAAB6PoJs=")</f>
        <v>#VALUE!</v>
      </c>
      <c r="FA2" t="e">
        <f>AND(Competitor!C11,"AAAAAB6PoJw=")</f>
        <v>#VALUE!</v>
      </c>
      <c r="FB2" t="e">
        <f>AND(Competitor!D11,"AAAAAB6PoJ0=")</f>
        <v>#VALUE!</v>
      </c>
      <c r="FC2" t="e">
        <f>AND(Competitor!E11,"AAAAAB6PoJ4=")</f>
        <v>#VALUE!</v>
      </c>
      <c r="FD2" t="e">
        <f>AND(Competitor!F11,"AAAAAB6PoJ8=")</f>
        <v>#VALUE!</v>
      </c>
      <c r="FE2" t="b">
        <f>AND(Competitor!G11,"AAAAAB6PoKA=")</f>
        <v>0</v>
      </c>
      <c r="FF2" t="e">
        <f>AND(Competitor!H11,"AAAAAB6PoKE=")</f>
        <v>#VALUE!</v>
      </c>
      <c r="FG2" t="e">
        <f>AND(Competitor!I11,"AAAAAB6PoKI=")</f>
        <v>#VALUE!</v>
      </c>
      <c r="FH2" t="e">
        <f>AND(Competitor!J11,"AAAAAB6PoKM=")</f>
        <v>#VALUE!</v>
      </c>
      <c r="FI2" t="e">
        <f>AND(Competitor!K11,"AAAAAB6PoKQ=")</f>
        <v>#VALUE!</v>
      </c>
      <c r="FJ2" t="e">
        <f>AND(Competitor!L11,"AAAAAB6PoKU=")</f>
        <v>#VALUE!</v>
      </c>
      <c r="FK2" t="e">
        <f>AND(Competitor!M11,"AAAAAB6PoKY=")</f>
        <v>#VALUE!</v>
      </c>
      <c r="FL2" t="e">
        <f>AND(Competitor!N11,"AAAAAB6PoKc=")</f>
        <v>#VALUE!</v>
      </c>
      <c r="FM2" t="e">
        <f>AND(Competitor!O11,"AAAAAB6PoKg=")</f>
        <v>#VALUE!</v>
      </c>
      <c r="FN2" t="e">
        <f>AND(Competitor!P11,"AAAAAB6PoKk=")</f>
        <v>#VALUE!</v>
      </c>
      <c r="FO2">
        <f>IF(Competitor!12:12,"AAAAAB6PoKo=",0)</f>
        <v>0</v>
      </c>
      <c r="FP2" t="b">
        <f>AND(Competitor!A12,"AAAAAB6PoKs=")</f>
        <v>1</v>
      </c>
      <c r="FQ2" t="e">
        <f>AND(Competitor!B12,"AAAAAB6PoKw=")</f>
        <v>#VALUE!</v>
      </c>
      <c r="FR2" t="e">
        <f>AND(Competitor!C12,"AAAAAB6PoK0=")</f>
        <v>#VALUE!</v>
      </c>
      <c r="FS2" t="e">
        <f>AND(Competitor!D12,"AAAAAB6PoK4=")</f>
        <v>#VALUE!</v>
      </c>
      <c r="FT2" t="e">
        <f>AND(Competitor!E12,"AAAAAB6PoK8=")</f>
        <v>#VALUE!</v>
      </c>
      <c r="FU2" t="e">
        <f>AND(Competitor!F12,"AAAAAB6PoLA=")</f>
        <v>#VALUE!</v>
      </c>
      <c r="FV2" t="b">
        <f>AND(Competitor!G12,"AAAAAB6PoLE=")</f>
        <v>0</v>
      </c>
      <c r="FW2" t="e">
        <f>AND(Competitor!H12,"AAAAAB6PoLI=")</f>
        <v>#VALUE!</v>
      </c>
      <c r="FX2" t="e">
        <f>AND(Competitor!I12,"AAAAAB6PoLM=")</f>
        <v>#VALUE!</v>
      </c>
      <c r="FY2" t="e">
        <f>AND(Competitor!J12,"AAAAAB6PoLQ=")</f>
        <v>#VALUE!</v>
      </c>
      <c r="FZ2" t="e">
        <f>AND(Competitor!K12,"AAAAAB6PoLU=")</f>
        <v>#VALUE!</v>
      </c>
      <c r="GA2" t="e">
        <f>AND(Competitor!L12,"AAAAAB6PoLY=")</f>
        <v>#VALUE!</v>
      </c>
      <c r="GB2" t="e">
        <f>AND(Competitor!M12,"AAAAAB6PoLc=")</f>
        <v>#VALUE!</v>
      </c>
      <c r="GC2" t="e">
        <f>AND(Competitor!N12,"AAAAAB6PoLg=")</f>
        <v>#VALUE!</v>
      </c>
      <c r="GD2" t="e">
        <f>AND(Competitor!O12,"AAAAAB6PoLk=")</f>
        <v>#VALUE!</v>
      </c>
      <c r="GE2" t="e">
        <f>AND(Competitor!P12,"AAAAAB6PoLo=")</f>
        <v>#VALUE!</v>
      </c>
      <c r="GF2">
        <f>IF(Competitor!13:13,"AAAAAB6PoLs=",0)</f>
        <v>0</v>
      </c>
      <c r="GG2" t="b">
        <f>AND(Competitor!A13,"AAAAAB6PoLw=")</f>
        <v>1</v>
      </c>
      <c r="GH2" t="e">
        <f>AND(Competitor!B13,"AAAAAB6PoL0=")</f>
        <v>#VALUE!</v>
      </c>
      <c r="GI2" t="e">
        <f>AND(Competitor!C13,"AAAAAB6PoL4=")</f>
        <v>#VALUE!</v>
      </c>
      <c r="GJ2" t="e">
        <f>AND(Competitor!D13,"AAAAAB6PoL8=")</f>
        <v>#VALUE!</v>
      </c>
      <c r="GK2" t="e">
        <f>AND(Competitor!E13,"AAAAAB6PoMA=")</f>
        <v>#VALUE!</v>
      </c>
      <c r="GL2" t="e">
        <f>AND(Competitor!F13,"AAAAAB6PoME=")</f>
        <v>#VALUE!</v>
      </c>
      <c r="GM2" t="b">
        <f>AND(Competitor!G13,"AAAAAB6PoMI=")</f>
        <v>0</v>
      </c>
      <c r="GN2" t="e">
        <f>AND(Competitor!H13,"AAAAAB6PoMM=")</f>
        <v>#VALUE!</v>
      </c>
      <c r="GO2" t="e">
        <f>AND(Competitor!I13,"AAAAAB6PoMQ=")</f>
        <v>#VALUE!</v>
      </c>
      <c r="GP2" t="e">
        <f>AND(Competitor!J13,"AAAAAB6PoMU=")</f>
        <v>#VALUE!</v>
      </c>
      <c r="GQ2" t="e">
        <f>AND(Competitor!K13,"AAAAAB6PoMY=")</f>
        <v>#VALUE!</v>
      </c>
      <c r="GR2" t="e">
        <f>AND(Competitor!L13,"AAAAAB6PoMc=")</f>
        <v>#VALUE!</v>
      </c>
      <c r="GS2" t="e">
        <f>AND(Competitor!M13,"AAAAAB6PoMg=")</f>
        <v>#VALUE!</v>
      </c>
      <c r="GT2" t="e">
        <f>AND(Competitor!N13,"AAAAAB6PoMk=")</f>
        <v>#VALUE!</v>
      </c>
      <c r="GU2" t="e">
        <f>AND(Competitor!O13,"AAAAAB6PoMo=")</f>
        <v>#VALUE!</v>
      </c>
      <c r="GV2" t="e">
        <f>AND(Competitor!P13,"AAAAAB6PoMs=")</f>
        <v>#VALUE!</v>
      </c>
      <c r="GW2">
        <f>IF(Competitor!14:14,"AAAAAB6PoMw=",0)</f>
        <v>0</v>
      </c>
      <c r="GX2" t="b">
        <f>AND(Competitor!A14,"AAAAAB6PoM0=")</f>
        <v>1</v>
      </c>
      <c r="GY2" t="e">
        <f>AND(Competitor!B14,"AAAAAB6PoM4=")</f>
        <v>#VALUE!</v>
      </c>
      <c r="GZ2" t="e">
        <f>AND(Competitor!C14,"AAAAAB6PoM8=")</f>
        <v>#VALUE!</v>
      </c>
      <c r="HA2" t="e">
        <f>AND(Competitor!D14,"AAAAAB6PoNA=")</f>
        <v>#VALUE!</v>
      </c>
      <c r="HB2" t="e">
        <f>AND(Competitor!E14,"AAAAAB6PoNE=")</f>
        <v>#VALUE!</v>
      </c>
      <c r="HC2" t="e">
        <f>AND(Competitor!F14,"AAAAAB6PoNI=")</f>
        <v>#VALUE!</v>
      </c>
      <c r="HD2" t="b">
        <f>AND(Competitor!G14,"AAAAAB6PoNM=")</f>
        <v>0</v>
      </c>
      <c r="HE2" t="e">
        <f>AND(Competitor!H14,"AAAAAB6PoNQ=")</f>
        <v>#VALUE!</v>
      </c>
      <c r="HF2" t="e">
        <f>AND(Competitor!I14,"AAAAAB6PoNU=")</f>
        <v>#VALUE!</v>
      </c>
      <c r="HG2" t="e">
        <f>AND(Competitor!J14,"AAAAAB6PoNY=")</f>
        <v>#VALUE!</v>
      </c>
      <c r="HH2" t="e">
        <f>AND(Competitor!K14,"AAAAAB6PoNc=")</f>
        <v>#VALUE!</v>
      </c>
      <c r="HI2" t="e">
        <f>AND(Competitor!L14,"AAAAAB6PoNg=")</f>
        <v>#VALUE!</v>
      </c>
      <c r="HJ2" t="e">
        <f>AND(Competitor!M14,"AAAAAB6PoNk=")</f>
        <v>#VALUE!</v>
      </c>
      <c r="HK2" t="e">
        <f>AND(Competitor!N14,"AAAAAB6PoNo=")</f>
        <v>#VALUE!</v>
      </c>
      <c r="HL2" t="e">
        <f>AND(Competitor!O14,"AAAAAB6PoNs=")</f>
        <v>#VALUE!</v>
      </c>
      <c r="HM2" t="e">
        <f>AND(Competitor!P14,"AAAAAB6PoNw=")</f>
        <v>#VALUE!</v>
      </c>
      <c r="HN2">
        <f>IF(Competitor!15:15,"AAAAAB6PoN0=",0)</f>
        <v>0</v>
      </c>
      <c r="HO2" t="b">
        <f>AND(Competitor!A15,"AAAAAB6PoN4=")</f>
        <v>1</v>
      </c>
      <c r="HP2" t="e">
        <f>AND(Competitor!B15,"AAAAAB6PoN8=")</f>
        <v>#VALUE!</v>
      </c>
      <c r="HQ2" t="e">
        <f>AND(Competitor!C15,"AAAAAB6PoOA=")</f>
        <v>#VALUE!</v>
      </c>
      <c r="HR2" t="e">
        <f>AND(Competitor!D15,"AAAAAB6PoOE=")</f>
        <v>#VALUE!</v>
      </c>
      <c r="HS2" t="e">
        <f>AND(Competitor!E15,"AAAAAB6PoOI=")</f>
        <v>#VALUE!</v>
      </c>
      <c r="HT2" t="e">
        <f>AND(Competitor!F15,"AAAAAB6PoOM=")</f>
        <v>#VALUE!</v>
      </c>
      <c r="HU2" t="b">
        <f>AND(Competitor!G15,"AAAAAB6PoOQ=")</f>
        <v>0</v>
      </c>
      <c r="HV2" t="e">
        <f>AND(Competitor!H15,"AAAAAB6PoOU=")</f>
        <v>#VALUE!</v>
      </c>
      <c r="HW2" t="e">
        <f>AND(Competitor!I15,"AAAAAB6PoOY=")</f>
        <v>#VALUE!</v>
      </c>
      <c r="HX2" t="e">
        <f>AND(Competitor!J15,"AAAAAB6PoOc=")</f>
        <v>#VALUE!</v>
      </c>
      <c r="HY2" t="e">
        <f>AND(Competitor!K15,"AAAAAB6PoOg=")</f>
        <v>#VALUE!</v>
      </c>
      <c r="HZ2" t="e">
        <f>AND(Competitor!L15,"AAAAAB6PoOk=")</f>
        <v>#VALUE!</v>
      </c>
      <c r="IA2" t="e">
        <f>AND(Competitor!M15,"AAAAAB6PoOo=")</f>
        <v>#VALUE!</v>
      </c>
      <c r="IB2" t="e">
        <f>AND(Competitor!N15,"AAAAAB6PoOs=")</f>
        <v>#VALUE!</v>
      </c>
      <c r="IC2" t="e">
        <f>AND(Competitor!O15,"AAAAAB6PoOw=")</f>
        <v>#VALUE!</v>
      </c>
      <c r="ID2" t="e">
        <f>AND(Competitor!P15,"AAAAAB6PoO0=")</f>
        <v>#VALUE!</v>
      </c>
      <c r="IE2">
        <f>IF(Competitor!16:16,"AAAAAB6PoO4=",0)</f>
        <v>0</v>
      </c>
      <c r="IF2" t="b">
        <f>AND(Competitor!A16,"AAAAAB6PoO8=")</f>
        <v>1</v>
      </c>
      <c r="IG2" t="e">
        <f>AND(Competitor!B16,"AAAAAB6PoPA=")</f>
        <v>#VALUE!</v>
      </c>
      <c r="IH2" t="e">
        <f>AND(Competitor!C16,"AAAAAB6PoPE=")</f>
        <v>#VALUE!</v>
      </c>
      <c r="II2" t="e">
        <f>AND(Competitor!D16,"AAAAAB6PoPI=")</f>
        <v>#VALUE!</v>
      </c>
      <c r="IJ2" t="e">
        <f>AND(Competitor!E16,"AAAAAB6PoPM=")</f>
        <v>#VALUE!</v>
      </c>
      <c r="IK2" t="e">
        <f>AND(Competitor!F16,"AAAAAB6PoPQ=")</f>
        <v>#VALUE!</v>
      </c>
      <c r="IL2" t="b">
        <f>AND(Competitor!G16,"AAAAAB6PoPU=")</f>
        <v>0</v>
      </c>
      <c r="IM2" t="e">
        <f>AND(Competitor!H16,"AAAAAB6PoPY=")</f>
        <v>#VALUE!</v>
      </c>
      <c r="IN2" t="e">
        <f>AND(Competitor!I16,"AAAAAB6PoPc=")</f>
        <v>#VALUE!</v>
      </c>
      <c r="IO2" t="e">
        <f>AND(Competitor!J16,"AAAAAB6PoPg=")</f>
        <v>#VALUE!</v>
      </c>
      <c r="IP2" t="e">
        <f>AND(Competitor!K16,"AAAAAB6PoPk=")</f>
        <v>#VALUE!</v>
      </c>
      <c r="IQ2" t="e">
        <f>AND(Competitor!L16,"AAAAAB6PoPo=")</f>
        <v>#VALUE!</v>
      </c>
      <c r="IR2" t="e">
        <f>AND(Competitor!M16,"AAAAAB6PoPs=")</f>
        <v>#VALUE!</v>
      </c>
      <c r="IS2" t="e">
        <f>AND(Competitor!N16,"AAAAAB6PoPw=")</f>
        <v>#VALUE!</v>
      </c>
      <c r="IT2" t="e">
        <f>AND(Competitor!O16,"AAAAAB6PoP0=")</f>
        <v>#VALUE!</v>
      </c>
      <c r="IU2" t="e">
        <f>AND(Competitor!P16,"AAAAAB6PoP4=")</f>
        <v>#VALUE!</v>
      </c>
      <c r="IV2">
        <f>IF(Competitor!17:17,"AAAAAB6PoP8=",0)</f>
        <v>0</v>
      </c>
    </row>
    <row r="3" spans="1:256" x14ac:dyDescent="0.25">
      <c r="A3" t="b">
        <f>AND(Competitor!A17,"AAAAAF905AA=")</f>
        <v>1</v>
      </c>
      <c r="B3" t="e">
        <f>AND(Competitor!B17,"AAAAAF905AE=")</f>
        <v>#VALUE!</v>
      </c>
      <c r="C3" t="e">
        <f>AND(Competitor!C17,"AAAAAF905AI=")</f>
        <v>#VALUE!</v>
      </c>
      <c r="D3" t="e">
        <f>AND(Competitor!D17,"AAAAAF905AM=")</f>
        <v>#VALUE!</v>
      </c>
      <c r="E3" t="e">
        <f>AND(Competitor!E17,"AAAAAF905AQ=")</f>
        <v>#VALUE!</v>
      </c>
      <c r="F3" t="e">
        <f>AND(Competitor!F17,"AAAAAF905AU=")</f>
        <v>#VALUE!</v>
      </c>
      <c r="G3" t="b">
        <f>AND(Competitor!G17,"AAAAAF905AY=")</f>
        <v>0</v>
      </c>
      <c r="H3" t="e">
        <f>AND(Competitor!H17,"AAAAAF905Ac=")</f>
        <v>#VALUE!</v>
      </c>
      <c r="I3" t="e">
        <f>AND(Competitor!I17,"AAAAAF905Ag=")</f>
        <v>#VALUE!</v>
      </c>
      <c r="J3" t="e">
        <f>AND(Competitor!J17,"AAAAAF905Ak=")</f>
        <v>#VALUE!</v>
      </c>
      <c r="K3" t="e">
        <f>AND(Competitor!K17,"AAAAAF905Ao=")</f>
        <v>#VALUE!</v>
      </c>
      <c r="L3" t="e">
        <f>AND(Competitor!L17,"AAAAAF905As=")</f>
        <v>#VALUE!</v>
      </c>
      <c r="M3" t="e">
        <f>AND(Competitor!M17,"AAAAAF905Aw=")</f>
        <v>#VALUE!</v>
      </c>
      <c r="N3" t="e">
        <f>AND(Competitor!N17,"AAAAAF905A0=")</f>
        <v>#VALUE!</v>
      </c>
      <c r="O3" t="e">
        <f>AND(Competitor!O17,"AAAAAF905A4=")</f>
        <v>#VALUE!</v>
      </c>
      <c r="P3" t="e">
        <f>AND(Competitor!P17,"AAAAAF905A8=")</f>
        <v>#VALUE!</v>
      </c>
      <c r="Q3">
        <f>IF(Competitor!18:18,"AAAAAF905BA=",0)</f>
        <v>0</v>
      </c>
      <c r="R3" t="b">
        <f>AND(Competitor!A18,"AAAAAF905BE=")</f>
        <v>1</v>
      </c>
      <c r="S3" t="e">
        <f>AND(Competitor!B18,"AAAAAF905BI=")</f>
        <v>#VALUE!</v>
      </c>
      <c r="T3" t="e">
        <f>AND(Competitor!C18,"AAAAAF905BM=")</f>
        <v>#VALUE!</v>
      </c>
      <c r="U3" t="e">
        <f>AND(Competitor!D18,"AAAAAF905BQ=")</f>
        <v>#VALUE!</v>
      </c>
      <c r="V3" t="e">
        <f>AND(Competitor!E18,"AAAAAF905BU=")</f>
        <v>#VALUE!</v>
      </c>
      <c r="W3" t="e">
        <f>AND(Competitor!F18,"AAAAAF905BY=")</f>
        <v>#VALUE!</v>
      </c>
      <c r="X3" t="b">
        <f>AND(Competitor!G18,"AAAAAF905Bc=")</f>
        <v>0</v>
      </c>
      <c r="Y3" t="e">
        <f>AND(Competitor!H18,"AAAAAF905Bg=")</f>
        <v>#VALUE!</v>
      </c>
      <c r="Z3" t="e">
        <f>AND(Competitor!I18,"AAAAAF905Bk=")</f>
        <v>#VALUE!</v>
      </c>
      <c r="AA3" t="e">
        <f>AND(Competitor!J18,"AAAAAF905Bo=")</f>
        <v>#VALUE!</v>
      </c>
      <c r="AB3" t="e">
        <f>AND(Competitor!K18,"AAAAAF905Bs=")</f>
        <v>#VALUE!</v>
      </c>
      <c r="AC3" t="e">
        <f>AND(Competitor!L18,"AAAAAF905Bw=")</f>
        <v>#VALUE!</v>
      </c>
      <c r="AD3" t="e">
        <f>AND(Competitor!M18,"AAAAAF905B0=")</f>
        <v>#VALUE!</v>
      </c>
      <c r="AE3" t="e">
        <f>AND(Competitor!N18,"AAAAAF905B4=")</f>
        <v>#VALUE!</v>
      </c>
      <c r="AF3" t="e">
        <f>AND(Competitor!O18,"AAAAAF905B8=")</f>
        <v>#VALUE!</v>
      </c>
      <c r="AG3" t="e">
        <f>AND(Competitor!P18,"AAAAAF905CA=")</f>
        <v>#VALUE!</v>
      </c>
      <c r="AH3">
        <f>IF(Competitor!19:19,"AAAAAF905CE=",0)</f>
        <v>0</v>
      </c>
      <c r="AI3" t="b">
        <f>AND(Competitor!A19,"AAAAAF905CI=")</f>
        <v>1</v>
      </c>
      <c r="AJ3" t="e">
        <f>AND(Competitor!B19,"AAAAAF905CM=")</f>
        <v>#VALUE!</v>
      </c>
      <c r="AK3" t="e">
        <f>AND(Competitor!C19,"AAAAAF905CQ=")</f>
        <v>#VALUE!</v>
      </c>
      <c r="AL3" t="e">
        <f>AND(Competitor!D19,"AAAAAF905CU=")</f>
        <v>#VALUE!</v>
      </c>
      <c r="AM3" t="e">
        <f>AND(Competitor!E19,"AAAAAF905CY=")</f>
        <v>#VALUE!</v>
      </c>
      <c r="AN3" t="e">
        <f>AND(Competitor!F19,"AAAAAF905Cc=")</f>
        <v>#VALUE!</v>
      </c>
      <c r="AO3" t="b">
        <f>AND(Competitor!G19,"AAAAAF905Cg=")</f>
        <v>0</v>
      </c>
      <c r="AP3" t="e">
        <f>AND(Competitor!H19,"AAAAAF905Ck=")</f>
        <v>#VALUE!</v>
      </c>
      <c r="AQ3" t="e">
        <f>AND(Competitor!I19,"AAAAAF905Co=")</f>
        <v>#VALUE!</v>
      </c>
      <c r="AR3" t="e">
        <f>AND(Competitor!J19,"AAAAAF905Cs=")</f>
        <v>#VALUE!</v>
      </c>
      <c r="AS3" t="e">
        <f>AND(Competitor!K19,"AAAAAF905Cw=")</f>
        <v>#VALUE!</v>
      </c>
      <c r="AT3" t="e">
        <f>AND(Competitor!L19,"AAAAAF905C0=")</f>
        <v>#VALUE!</v>
      </c>
      <c r="AU3" t="e">
        <f>AND(Competitor!M19,"AAAAAF905C4=")</f>
        <v>#VALUE!</v>
      </c>
      <c r="AV3" t="e">
        <f>AND(Competitor!N19,"AAAAAF905C8=")</f>
        <v>#VALUE!</v>
      </c>
      <c r="AW3" t="e">
        <f>AND(Competitor!O19,"AAAAAF905DA=")</f>
        <v>#VALUE!</v>
      </c>
      <c r="AX3" t="e">
        <f>AND(Competitor!P19,"AAAAAF905DE=")</f>
        <v>#VALUE!</v>
      </c>
      <c r="AY3">
        <f>IF(Competitor!20:20,"AAAAAF905DI=",0)</f>
        <v>0</v>
      </c>
      <c r="AZ3" t="b">
        <f>AND(Competitor!A20,"AAAAAF905DM=")</f>
        <v>1</v>
      </c>
      <c r="BA3" t="e">
        <f>AND(Competitor!B20,"AAAAAF905DQ=")</f>
        <v>#VALUE!</v>
      </c>
      <c r="BB3" t="e">
        <f>AND(Competitor!C20,"AAAAAF905DU=")</f>
        <v>#VALUE!</v>
      </c>
      <c r="BC3" t="e">
        <f>AND(Competitor!D20,"AAAAAF905DY=")</f>
        <v>#VALUE!</v>
      </c>
      <c r="BD3" t="e">
        <f>AND(Competitor!E20,"AAAAAF905Dc=")</f>
        <v>#VALUE!</v>
      </c>
      <c r="BE3" t="e">
        <f>AND(Competitor!F20,"AAAAAF905Dg=")</f>
        <v>#VALUE!</v>
      </c>
      <c r="BF3" t="b">
        <f>AND(Competitor!G20,"AAAAAF905Dk=")</f>
        <v>0</v>
      </c>
      <c r="BG3" t="e">
        <f>AND(Competitor!H20,"AAAAAF905Do=")</f>
        <v>#VALUE!</v>
      </c>
      <c r="BH3" t="e">
        <f>AND(Competitor!I20,"AAAAAF905Ds=")</f>
        <v>#VALUE!</v>
      </c>
      <c r="BI3" t="e">
        <f>AND(Competitor!J20,"AAAAAF905Dw=")</f>
        <v>#VALUE!</v>
      </c>
      <c r="BJ3" t="e">
        <f>AND(Competitor!K20,"AAAAAF905D0=")</f>
        <v>#VALUE!</v>
      </c>
      <c r="BK3" t="e">
        <f>AND(Competitor!L20,"AAAAAF905D4=")</f>
        <v>#VALUE!</v>
      </c>
      <c r="BL3" t="e">
        <f>AND(Competitor!M20,"AAAAAF905D8=")</f>
        <v>#VALUE!</v>
      </c>
      <c r="BM3" t="e">
        <f>AND(Competitor!N20,"AAAAAF905EA=")</f>
        <v>#VALUE!</v>
      </c>
      <c r="BN3" t="e">
        <f>AND(Competitor!O20,"AAAAAF905EE=")</f>
        <v>#VALUE!</v>
      </c>
      <c r="BO3" t="e">
        <f>AND(Competitor!P20,"AAAAAF905EI=")</f>
        <v>#VALUE!</v>
      </c>
      <c r="BP3">
        <f>IF(Competitor!21:21,"AAAAAF905EM=",0)</f>
        <v>0</v>
      </c>
      <c r="BQ3" t="b">
        <f>AND(Competitor!A21,"AAAAAF905EQ=")</f>
        <v>1</v>
      </c>
      <c r="BR3" t="e">
        <f>AND(Competitor!B21,"AAAAAF905EU=")</f>
        <v>#VALUE!</v>
      </c>
      <c r="BS3" t="e">
        <f>AND(Competitor!C21,"AAAAAF905EY=")</f>
        <v>#VALUE!</v>
      </c>
      <c r="BT3" t="e">
        <f>AND(Competitor!D21,"AAAAAF905Ec=")</f>
        <v>#VALUE!</v>
      </c>
      <c r="BU3" t="e">
        <f>AND(Competitor!E21,"AAAAAF905Eg=")</f>
        <v>#VALUE!</v>
      </c>
      <c r="BV3" t="e">
        <f>AND(Competitor!F21,"AAAAAF905Ek=")</f>
        <v>#VALUE!</v>
      </c>
      <c r="BW3" t="b">
        <f>AND(Competitor!G21,"AAAAAF905Eo=")</f>
        <v>0</v>
      </c>
      <c r="BX3" t="e">
        <f>AND(Competitor!H21,"AAAAAF905Es=")</f>
        <v>#VALUE!</v>
      </c>
      <c r="BY3" t="e">
        <f>AND(Competitor!I21,"AAAAAF905Ew=")</f>
        <v>#VALUE!</v>
      </c>
      <c r="BZ3" t="e">
        <f>AND(Competitor!J21,"AAAAAF905E0=")</f>
        <v>#VALUE!</v>
      </c>
      <c r="CA3" t="e">
        <f>AND(Competitor!K21,"AAAAAF905E4=")</f>
        <v>#VALUE!</v>
      </c>
      <c r="CB3" t="e">
        <f>AND(Competitor!L21,"AAAAAF905E8=")</f>
        <v>#VALUE!</v>
      </c>
      <c r="CC3" t="e">
        <f>AND(Competitor!M21,"AAAAAF905FA=")</f>
        <v>#VALUE!</v>
      </c>
      <c r="CD3" t="e">
        <f>AND(Competitor!N21,"AAAAAF905FE=")</f>
        <v>#VALUE!</v>
      </c>
      <c r="CE3" t="e">
        <f>AND(Competitor!O21,"AAAAAF905FI=")</f>
        <v>#VALUE!</v>
      </c>
      <c r="CF3" t="e">
        <f>AND(Competitor!P21,"AAAAAF905FM=")</f>
        <v>#VALUE!</v>
      </c>
      <c r="CG3">
        <f>IF(Competitor!22:22,"AAAAAF905FQ=",0)</f>
        <v>0</v>
      </c>
      <c r="CH3" t="b">
        <f>AND(Competitor!A22,"AAAAAF905FU=")</f>
        <v>1</v>
      </c>
      <c r="CI3" t="e">
        <f>AND(Competitor!B22,"AAAAAF905FY=")</f>
        <v>#VALUE!</v>
      </c>
      <c r="CJ3" t="e">
        <f>AND(Competitor!C22,"AAAAAF905Fc=")</f>
        <v>#VALUE!</v>
      </c>
      <c r="CK3" t="e">
        <f>AND(Competitor!D22,"AAAAAF905Fg=")</f>
        <v>#VALUE!</v>
      </c>
      <c r="CL3" t="e">
        <f>AND(Competitor!E22,"AAAAAF905Fk=")</f>
        <v>#VALUE!</v>
      </c>
      <c r="CM3" t="e">
        <f>AND(Competitor!F22,"AAAAAF905Fo=")</f>
        <v>#VALUE!</v>
      </c>
      <c r="CN3" t="b">
        <f>AND(Competitor!G22,"AAAAAF905Fs=")</f>
        <v>0</v>
      </c>
      <c r="CO3" t="e">
        <f>AND(Competitor!H22,"AAAAAF905Fw=")</f>
        <v>#VALUE!</v>
      </c>
      <c r="CP3" t="e">
        <f>AND(Competitor!I22,"AAAAAF905F0=")</f>
        <v>#VALUE!</v>
      </c>
      <c r="CQ3" t="e">
        <f>AND(Competitor!J22,"AAAAAF905F4=")</f>
        <v>#VALUE!</v>
      </c>
      <c r="CR3" t="e">
        <f>AND(Competitor!K22,"AAAAAF905F8=")</f>
        <v>#VALUE!</v>
      </c>
      <c r="CS3" t="e">
        <f>AND(Competitor!L22,"AAAAAF905GA=")</f>
        <v>#VALUE!</v>
      </c>
      <c r="CT3" t="e">
        <f>AND(Competitor!M22,"AAAAAF905GE=")</f>
        <v>#VALUE!</v>
      </c>
      <c r="CU3" t="e">
        <f>AND(Competitor!N22,"AAAAAF905GI=")</f>
        <v>#VALUE!</v>
      </c>
      <c r="CV3" t="e">
        <f>AND(Competitor!O22,"AAAAAF905GM=")</f>
        <v>#VALUE!</v>
      </c>
      <c r="CW3" t="e">
        <f>AND(Competitor!P22,"AAAAAF905GQ=")</f>
        <v>#VALUE!</v>
      </c>
      <c r="CX3">
        <f>IF(Competitor!23:23,"AAAAAF905GU=",0)</f>
        <v>0</v>
      </c>
      <c r="CY3" t="b">
        <f>AND(Competitor!A23,"AAAAAF905GY=")</f>
        <v>1</v>
      </c>
      <c r="CZ3" t="e">
        <f>AND(Competitor!B23,"AAAAAF905Gc=")</f>
        <v>#VALUE!</v>
      </c>
      <c r="DA3" t="e">
        <f>AND(Competitor!C23,"AAAAAF905Gg=")</f>
        <v>#VALUE!</v>
      </c>
      <c r="DB3" t="e">
        <f>AND(Competitor!D23,"AAAAAF905Gk=")</f>
        <v>#VALUE!</v>
      </c>
      <c r="DC3" t="e">
        <f>AND(Competitor!E23,"AAAAAF905Go=")</f>
        <v>#VALUE!</v>
      </c>
      <c r="DD3" t="e">
        <f>AND(Competitor!F23,"AAAAAF905Gs=")</f>
        <v>#VALUE!</v>
      </c>
      <c r="DE3" t="b">
        <f>AND(Competitor!G23,"AAAAAF905Gw=")</f>
        <v>0</v>
      </c>
      <c r="DF3" t="e">
        <f>AND(Competitor!H23,"AAAAAF905G0=")</f>
        <v>#VALUE!</v>
      </c>
      <c r="DG3" t="e">
        <f>AND(Competitor!I23,"AAAAAF905G4=")</f>
        <v>#VALUE!</v>
      </c>
      <c r="DH3" t="e">
        <f>AND(Competitor!J23,"AAAAAF905G8=")</f>
        <v>#VALUE!</v>
      </c>
      <c r="DI3" t="e">
        <f>AND(Competitor!K23,"AAAAAF905HA=")</f>
        <v>#VALUE!</v>
      </c>
      <c r="DJ3" t="e">
        <f>AND(Competitor!L23,"AAAAAF905HE=")</f>
        <v>#VALUE!</v>
      </c>
      <c r="DK3" t="e">
        <f>AND(Competitor!M23,"AAAAAF905HI=")</f>
        <v>#VALUE!</v>
      </c>
      <c r="DL3" t="e">
        <f>AND(Competitor!N23,"AAAAAF905HM=")</f>
        <v>#VALUE!</v>
      </c>
      <c r="DM3" t="e">
        <f>AND(Competitor!O23,"AAAAAF905HQ=")</f>
        <v>#VALUE!</v>
      </c>
      <c r="DN3" t="e">
        <f>AND(Competitor!P23,"AAAAAF905HU=")</f>
        <v>#VALUE!</v>
      </c>
      <c r="DO3">
        <f>IF(Competitor!24:24,"AAAAAF905HY=",0)</f>
        <v>0</v>
      </c>
      <c r="DP3" t="b">
        <f>AND(Competitor!A24,"AAAAAF905Hc=")</f>
        <v>1</v>
      </c>
      <c r="DQ3" t="e">
        <f>AND(Competitor!B24,"AAAAAF905Hg=")</f>
        <v>#VALUE!</v>
      </c>
      <c r="DR3" t="e">
        <f>AND(Competitor!C24,"AAAAAF905Hk=")</f>
        <v>#VALUE!</v>
      </c>
      <c r="DS3" t="e">
        <f>AND(Competitor!D24,"AAAAAF905Ho=")</f>
        <v>#VALUE!</v>
      </c>
      <c r="DT3" t="e">
        <f>AND(Competitor!E24,"AAAAAF905Hs=")</f>
        <v>#VALUE!</v>
      </c>
      <c r="DU3" t="e">
        <f>AND(Competitor!F24,"AAAAAF905Hw=")</f>
        <v>#VALUE!</v>
      </c>
      <c r="DV3" t="b">
        <f>AND(Competitor!G24,"AAAAAF905H0=")</f>
        <v>0</v>
      </c>
      <c r="DW3" t="e">
        <f>AND(Competitor!H24,"AAAAAF905H4=")</f>
        <v>#VALUE!</v>
      </c>
      <c r="DX3" t="e">
        <f>AND(Competitor!I24,"AAAAAF905H8=")</f>
        <v>#VALUE!</v>
      </c>
      <c r="DY3" t="e">
        <f>AND(Competitor!J24,"AAAAAF905IA=")</f>
        <v>#VALUE!</v>
      </c>
      <c r="DZ3" t="e">
        <f>AND(Competitor!K24,"AAAAAF905IE=")</f>
        <v>#VALUE!</v>
      </c>
      <c r="EA3" t="e">
        <f>AND(Competitor!L24,"AAAAAF905II=")</f>
        <v>#VALUE!</v>
      </c>
      <c r="EB3" t="e">
        <f>AND(Competitor!M24,"AAAAAF905IM=")</f>
        <v>#VALUE!</v>
      </c>
      <c r="EC3" t="e">
        <f>AND(Competitor!N24,"AAAAAF905IQ=")</f>
        <v>#VALUE!</v>
      </c>
      <c r="ED3" t="e">
        <f>AND(Competitor!O24,"AAAAAF905IU=")</f>
        <v>#VALUE!</v>
      </c>
      <c r="EE3" t="e">
        <f>AND(Competitor!P24,"AAAAAF905IY=")</f>
        <v>#VALUE!</v>
      </c>
      <c r="EF3">
        <f>IF(Competitor!25:25,"AAAAAF905Ic=",0)</f>
        <v>0</v>
      </c>
      <c r="EG3" t="b">
        <f>AND(Competitor!A25,"AAAAAF905Ig=")</f>
        <v>1</v>
      </c>
      <c r="EH3" t="e">
        <f>AND(Competitor!B25,"AAAAAF905Ik=")</f>
        <v>#VALUE!</v>
      </c>
      <c r="EI3" t="e">
        <f>AND(Competitor!C25,"AAAAAF905Io=")</f>
        <v>#VALUE!</v>
      </c>
      <c r="EJ3" t="e">
        <f>AND(Competitor!D25,"AAAAAF905Is=")</f>
        <v>#VALUE!</v>
      </c>
      <c r="EK3" t="e">
        <f>AND(Competitor!E25,"AAAAAF905Iw=")</f>
        <v>#VALUE!</v>
      </c>
      <c r="EL3" t="e">
        <f>AND(Competitor!F25,"AAAAAF905I0=")</f>
        <v>#VALUE!</v>
      </c>
      <c r="EM3" t="b">
        <f>AND(Competitor!G25,"AAAAAF905I4=")</f>
        <v>0</v>
      </c>
      <c r="EN3" t="e">
        <f>AND(Competitor!H25,"AAAAAF905I8=")</f>
        <v>#VALUE!</v>
      </c>
      <c r="EO3" t="e">
        <f>AND(Competitor!I25,"AAAAAF905JA=")</f>
        <v>#VALUE!</v>
      </c>
      <c r="EP3" t="e">
        <f>AND(Competitor!J25,"AAAAAF905JE=")</f>
        <v>#VALUE!</v>
      </c>
      <c r="EQ3" t="e">
        <f>AND(Competitor!K25,"AAAAAF905JI=")</f>
        <v>#VALUE!</v>
      </c>
      <c r="ER3" t="e">
        <f>AND(Competitor!L25,"AAAAAF905JM=")</f>
        <v>#VALUE!</v>
      </c>
      <c r="ES3" t="e">
        <f>AND(Competitor!M25,"AAAAAF905JQ=")</f>
        <v>#VALUE!</v>
      </c>
      <c r="ET3" t="e">
        <f>AND(Competitor!N25,"AAAAAF905JU=")</f>
        <v>#VALUE!</v>
      </c>
      <c r="EU3" t="e">
        <f>AND(Competitor!O25,"AAAAAF905JY=")</f>
        <v>#VALUE!</v>
      </c>
      <c r="EV3" t="e">
        <f>AND(Competitor!P25,"AAAAAF905Jc=")</f>
        <v>#VALUE!</v>
      </c>
      <c r="EW3">
        <f>IF(Competitor!26:26,"AAAAAF905Jg=",0)</f>
        <v>0</v>
      </c>
      <c r="EX3" t="b">
        <f>AND(Competitor!A26,"AAAAAF905Jk=")</f>
        <v>1</v>
      </c>
      <c r="EY3" t="e">
        <f>AND(Competitor!B26,"AAAAAF905Jo=")</f>
        <v>#VALUE!</v>
      </c>
      <c r="EZ3" t="e">
        <f>AND(Competitor!K26,"AAAAAF905Js=")</f>
        <v>#VALUE!</v>
      </c>
      <c r="FA3" t="e">
        <f>AND(Competitor!D26,"AAAAAF905Jw=")</f>
        <v>#VALUE!</v>
      </c>
      <c r="FB3" t="e">
        <f>AND(Competitor!E26,"AAAAAF905J0=")</f>
        <v>#VALUE!</v>
      </c>
      <c r="FC3" t="e">
        <f>AND(Competitor!F26,"AAAAAF905J4=")</f>
        <v>#VALUE!</v>
      </c>
      <c r="FD3" t="b">
        <f>AND(Competitor!G26,"AAAAAF905J8=")</f>
        <v>0</v>
      </c>
      <c r="FE3" t="e">
        <f>AND(Competitor!H26,"AAAAAF905KA=")</f>
        <v>#VALUE!</v>
      </c>
      <c r="FF3" t="e">
        <f>AND(Competitor!I26,"AAAAAF905KE=")</f>
        <v>#VALUE!</v>
      </c>
      <c r="FG3" t="e">
        <f>AND(Competitor!J26,"AAAAAF905KI=")</f>
        <v>#VALUE!</v>
      </c>
      <c r="FH3" t="e">
        <f>AND(Competitor!#REF!,"AAAAAF905KM=")</f>
        <v>#REF!</v>
      </c>
      <c r="FI3" t="e">
        <f>AND(Competitor!L26,"AAAAAF905KQ=")</f>
        <v>#VALUE!</v>
      </c>
      <c r="FJ3" t="e">
        <f>AND(Competitor!M26,"AAAAAF905KU=")</f>
        <v>#VALUE!</v>
      </c>
      <c r="FK3" t="e">
        <f>AND(Competitor!N26,"AAAAAF905KY=")</f>
        <v>#VALUE!</v>
      </c>
      <c r="FL3" t="e">
        <f>AND(Competitor!O26,"AAAAAF905Kc=")</f>
        <v>#VALUE!</v>
      </c>
      <c r="FM3" t="e">
        <f>AND(Competitor!P26,"AAAAAF905Kg=")</f>
        <v>#VALUE!</v>
      </c>
      <c r="FN3">
        <f>IF(Competitor!27:27,"AAAAAF905Kk=",0)</f>
        <v>0</v>
      </c>
      <c r="FO3" t="b">
        <f>AND(Competitor!A27,"AAAAAF905Ko=")</f>
        <v>1</v>
      </c>
      <c r="FP3" t="e">
        <f>AND(Competitor!B27,"AAAAAF905Ks=")</f>
        <v>#VALUE!</v>
      </c>
      <c r="FQ3" t="e">
        <f>AND(Competitor!C27,"AAAAAF905Kw=")</f>
        <v>#VALUE!</v>
      </c>
      <c r="FR3" t="e">
        <f>AND(Competitor!D27,"AAAAAF905K0=")</f>
        <v>#VALUE!</v>
      </c>
      <c r="FS3" t="e">
        <f>AND(Competitor!E27,"AAAAAF905K4=")</f>
        <v>#VALUE!</v>
      </c>
      <c r="FT3" t="e">
        <f>AND(Competitor!F27,"AAAAAF905K8=")</f>
        <v>#VALUE!</v>
      </c>
      <c r="FU3" t="b">
        <f>AND(Competitor!G27,"AAAAAF905LA=")</f>
        <v>0</v>
      </c>
      <c r="FV3" t="e">
        <f>AND(Competitor!H27,"AAAAAF905LE=")</f>
        <v>#VALUE!</v>
      </c>
      <c r="FW3" t="e">
        <f>AND(Competitor!I27,"AAAAAF905LI=")</f>
        <v>#VALUE!</v>
      </c>
      <c r="FX3" t="e">
        <f>AND(Competitor!J27,"AAAAAF905LM=")</f>
        <v>#VALUE!</v>
      </c>
      <c r="FY3" t="e">
        <f>AND(Competitor!K27,"AAAAAF905LQ=")</f>
        <v>#VALUE!</v>
      </c>
      <c r="FZ3" t="e">
        <f>AND(Competitor!L27,"AAAAAF905LU=")</f>
        <v>#VALUE!</v>
      </c>
      <c r="GA3" t="e">
        <f>AND(Competitor!M27,"AAAAAF905LY=")</f>
        <v>#VALUE!</v>
      </c>
      <c r="GB3" t="e">
        <f>AND(Competitor!N27,"AAAAAF905Lc=")</f>
        <v>#VALUE!</v>
      </c>
      <c r="GC3" t="e">
        <f>AND(Competitor!O27,"AAAAAF905Lg=")</f>
        <v>#VALUE!</v>
      </c>
      <c r="GD3" t="e">
        <f>AND(Competitor!P27,"AAAAAF905Lk=")</f>
        <v>#VALUE!</v>
      </c>
      <c r="GE3">
        <f>IF(Competitor!28:28,"AAAAAF905Lo=",0)</f>
        <v>0</v>
      </c>
      <c r="GF3" t="b">
        <f>AND(Competitor!A28,"AAAAAF905Ls=")</f>
        <v>1</v>
      </c>
      <c r="GG3" t="e">
        <f>AND(Competitor!B28,"AAAAAF905Lw=")</f>
        <v>#VALUE!</v>
      </c>
      <c r="GH3" t="e">
        <f>AND(Competitor!C28,"AAAAAF905L0=")</f>
        <v>#VALUE!</v>
      </c>
      <c r="GI3" t="e">
        <f>AND(Competitor!D28,"AAAAAF905L4=")</f>
        <v>#VALUE!</v>
      </c>
      <c r="GJ3" t="e">
        <f>AND(Competitor!E28,"AAAAAF905L8=")</f>
        <v>#VALUE!</v>
      </c>
      <c r="GK3" t="e">
        <f>AND(Competitor!F28,"AAAAAF905MA=")</f>
        <v>#VALUE!</v>
      </c>
      <c r="GL3" t="b">
        <f>AND(Competitor!G28,"AAAAAF905ME=")</f>
        <v>0</v>
      </c>
      <c r="GM3" t="e">
        <f>AND(Competitor!H28,"AAAAAF905MI=")</f>
        <v>#VALUE!</v>
      </c>
      <c r="GN3" t="e">
        <f>AND(Competitor!I28,"AAAAAF905MM=")</f>
        <v>#VALUE!</v>
      </c>
      <c r="GO3" t="e">
        <f>AND(Competitor!J28,"AAAAAF905MQ=")</f>
        <v>#VALUE!</v>
      </c>
      <c r="GP3" t="e">
        <f>AND(Competitor!K28,"AAAAAF905MU=")</f>
        <v>#VALUE!</v>
      </c>
      <c r="GQ3" t="e">
        <f>AND(Competitor!L28,"AAAAAF905MY=")</f>
        <v>#VALUE!</v>
      </c>
      <c r="GR3" t="e">
        <f>AND(Competitor!M28,"AAAAAF905Mc=")</f>
        <v>#VALUE!</v>
      </c>
      <c r="GS3" t="e">
        <f>AND(Competitor!N28,"AAAAAF905Mg=")</f>
        <v>#VALUE!</v>
      </c>
      <c r="GT3" t="e">
        <f>AND(Competitor!O28,"AAAAAF905Mk=")</f>
        <v>#VALUE!</v>
      </c>
      <c r="GU3" t="e">
        <f>AND(Competitor!P28,"AAAAAF905Mo=")</f>
        <v>#VALUE!</v>
      </c>
      <c r="GV3">
        <f>IF(Competitor!29:29,"AAAAAF905Ms=",0)</f>
        <v>0</v>
      </c>
      <c r="GW3" t="b">
        <f>AND(Competitor!A29,"AAAAAF905Mw=")</f>
        <v>1</v>
      </c>
      <c r="GX3" t="e">
        <f>AND(Competitor!B29,"AAAAAF905M0=")</f>
        <v>#VALUE!</v>
      </c>
      <c r="GY3" t="e">
        <f>AND(Competitor!C29,"AAAAAF905M4=")</f>
        <v>#VALUE!</v>
      </c>
      <c r="GZ3" t="e">
        <f>AND(Competitor!D29,"AAAAAF905M8=")</f>
        <v>#VALUE!</v>
      </c>
      <c r="HA3" t="e">
        <f>AND(Competitor!E29,"AAAAAF905NA=")</f>
        <v>#VALUE!</v>
      </c>
      <c r="HB3" t="e">
        <f>AND(Competitor!F29,"AAAAAF905NE=")</f>
        <v>#VALUE!</v>
      </c>
      <c r="HC3" t="b">
        <f>AND(Competitor!G29,"AAAAAF905NI=")</f>
        <v>0</v>
      </c>
      <c r="HD3" t="e">
        <f>AND(Competitor!H29,"AAAAAF905NM=")</f>
        <v>#VALUE!</v>
      </c>
      <c r="HE3" t="e">
        <f>AND(Competitor!I29,"AAAAAF905NQ=")</f>
        <v>#VALUE!</v>
      </c>
      <c r="HF3" t="e">
        <f>AND(Competitor!J29,"AAAAAF905NU=")</f>
        <v>#VALUE!</v>
      </c>
      <c r="HG3" t="e">
        <f>AND(Competitor!K29,"AAAAAF905NY=")</f>
        <v>#VALUE!</v>
      </c>
      <c r="HH3" t="e">
        <f>AND(Competitor!L29,"AAAAAF905Nc=")</f>
        <v>#VALUE!</v>
      </c>
      <c r="HI3" t="e">
        <f>AND(Competitor!M29,"AAAAAF905Ng=")</f>
        <v>#VALUE!</v>
      </c>
      <c r="HJ3" t="e">
        <f>AND(Competitor!N29,"AAAAAF905Nk=")</f>
        <v>#VALUE!</v>
      </c>
      <c r="HK3" t="e">
        <f>AND(Competitor!O29,"AAAAAF905No=")</f>
        <v>#VALUE!</v>
      </c>
      <c r="HL3" t="e">
        <f>AND(Competitor!P29,"AAAAAF905Ns=")</f>
        <v>#VALUE!</v>
      </c>
      <c r="HM3">
        <f>IF(Competitor!30:30,"AAAAAF905Nw=",0)</f>
        <v>0</v>
      </c>
      <c r="HN3" t="b">
        <f>AND(Competitor!A30,"AAAAAF905N0=")</f>
        <v>1</v>
      </c>
      <c r="HO3" t="e">
        <f>AND(Competitor!B30,"AAAAAF905N4=")</f>
        <v>#VALUE!</v>
      </c>
      <c r="HP3" t="e">
        <f>AND(Competitor!C30,"AAAAAF905N8=")</f>
        <v>#VALUE!</v>
      </c>
      <c r="HQ3" t="e">
        <f>AND(Competitor!D30,"AAAAAF905OA=")</f>
        <v>#VALUE!</v>
      </c>
      <c r="HR3" t="e">
        <f>AND(Competitor!E30,"AAAAAF905OE=")</f>
        <v>#VALUE!</v>
      </c>
      <c r="HS3" t="e">
        <f>AND(Competitor!F30,"AAAAAF905OI=")</f>
        <v>#VALUE!</v>
      </c>
      <c r="HT3" t="b">
        <f>AND(Competitor!G30,"AAAAAF905OM=")</f>
        <v>0</v>
      </c>
      <c r="HU3" t="e">
        <f>AND(Competitor!H30,"AAAAAF905OQ=")</f>
        <v>#VALUE!</v>
      </c>
      <c r="HV3" t="e">
        <f>AND(Competitor!I30,"AAAAAF905OU=")</f>
        <v>#VALUE!</v>
      </c>
      <c r="HW3" t="e">
        <f>AND(Competitor!J30,"AAAAAF905OY=")</f>
        <v>#VALUE!</v>
      </c>
      <c r="HX3" t="e">
        <f>AND(Competitor!K30,"AAAAAF905Oc=")</f>
        <v>#VALUE!</v>
      </c>
      <c r="HY3" t="e">
        <f>AND(Competitor!L30,"AAAAAF905Og=")</f>
        <v>#VALUE!</v>
      </c>
      <c r="HZ3" t="e">
        <f>AND(Competitor!M30,"AAAAAF905Ok=")</f>
        <v>#VALUE!</v>
      </c>
      <c r="IA3" t="e">
        <f>AND(Competitor!N30,"AAAAAF905Oo=")</f>
        <v>#VALUE!</v>
      </c>
      <c r="IB3" t="e">
        <f>AND(Competitor!O30,"AAAAAF905Os=")</f>
        <v>#VALUE!</v>
      </c>
      <c r="IC3" t="e">
        <f>AND(Competitor!P30,"AAAAAF905Ow=")</f>
        <v>#VALUE!</v>
      </c>
      <c r="ID3">
        <f>IF(Competitor!31:31,"AAAAAF905O0=",0)</f>
        <v>0</v>
      </c>
      <c r="IE3" t="b">
        <f>AND(Competitor!A31,"AAAAAF905O4=")</f>
        <v>1</v>
      </c>
      <c r="IF3" t="e">
        <f>AND(Competitor!B31,"AAAAAF905O8=")</f>
        <v>#VALUE!</v>
      </c>
      <c r="IG3" t="e">
        <f>AND(Competitor!C31,"AAAAAF905PA=")</f>
        <v>#VALUE!</v>
      </c>
      <c r="IH3" t="e">
        <f>AND(Competitor!D31,"AAAAAF905PE=")</f>
        <v>#VALUE!</v>
      </c>
      <c r="II3" t="e">
        <f>AND(Competitor!E31,"AAAAAF905PI=")</f>
        <v>#VALUE!</v>
      </c>
      <c r="IJ3" t="e">
        <f>AND(Competitor!F31,"AAAAAF905PM=")</f>
        <v>#VALUE!</v>
      </c>
      <c r="IK3" t="b">
        <f>AND(Competitor!G31,"AAAAAF905PQ=")</f>
        <v>0</v>
      </c>
      <c r="IL3" t="e">
        <f>AND(Competitor!H31,"AAAAAF905PU=")</f>
        <v>#VALUE!</v>
      </c>
      <c r="IM3" t="e">
        <f>AND(Competitor!I31,"AAAAAF905PY=")</f>
        <v>#VALUE!</v>
      </c>
      <c r="IN3" t="e">
        <f>AND(Competitor!J31,"AAAAAF905Pc=")</f>
        <v>#VALUE!</v>
      </c>
      <c r="IO3" t="e">
        <f>AND(Competitor!K31,"AAAAAF905Pg=")</f>
        <v>#VALUE!</v>
      </c>
      <c r="IP3" t="e">
        <f>AND(Competitor!L31,"AAAAAF905Pk=")</f>
        <v>#VALUE!</v>
      </c>
      <c r="IQ3" t="e">
        <f>AND(Competitor!M31,"AAAAAF905Po=")</f>
        <v>#VALUE!</v>
      </c>
      <c r="IR3" t="e">
        <f>AND(Competitor!N31,"AAAAAF905Ps=")</f>
        <v>#VALUE!</v>
      </c>
      <c r="IS3" t="e">
        <f>AND(Competitor!O31,"AAAAAF905Pw=")</f>
        <v>#VALUE!</v>
      </c>
      <c r="IT3" t="e">
        <f>AND(Competitor!P31,"AAAAAF905P0=")</f>
        <v>#VALUE!</v>
      </c>
      <c r="IU3">
        <f>IF(Competitor!32:32,"AAAAAF905P4=",0)</f>
        <v>0</v>
      </c>
      <c r="IV3" t="b">
        <f>AND(Competitor!A32,"AAAAAF905P8=")</f>
        <v>1</v>
      </c>
    </row>
    <row r="4" spans="1:256" x14ac:dyDescent="0.25">
      <c r="A4" t="e">
        <f>AND(Competitor!B32,"AAAAAHradwA=")</f>
        <v>#VALUE!</v>
      </c>
      <c r="B4" t="e">
        <f>AND(Competitor!C32,"AAAAAHradwE=")</f>
        <v>#VALUE!</v>
      </c>
      <c r="C4" t="e">
        <f>AND(Competitor!D32,"AAAAAHradwI=")</f>
        <v>#VALUE!</v>
      </c>
      <c r="D4" t="e">
        <f>AND(Competitor!E32,"AAAAAHradwM=")</f>
        <v>#VALUE!</v>
      </c>
      <c r="E4" t="e">
        <f>AND(Competitor!F32,"AAAAAHradwQ=")</f>
        <v>#VALUE!</v>
      </c>
      <c r="F4" t="b">
        <f>AND(Competitor!G32,"AAAAAHradwU=")</f>
        <v>0</v>
      </c>
      <c r="G4" t="e">
        <f>AND(Competitor!H32,"AAAAAHradwY=")</f>
        <v>#VALUE!</v>
      </c>
      <c r="H4" t="e">
        <f>AND(Competitor!I32,"AAAAAHradwc=")</f>
        <v>#VALUE!</v>
      </c>
      <c r="I4" t="e">
        <f>AND(Competitor!J32,"AAAAAHradwg=")</f>
        <v>#VALUE!</v>
      </c>
      <c r="J4" t="e">
        <f>AND(Competitor!K32,"AAAAAHradwk=")</f>
        <v>#VALUE!</v>
      </c>
      <c r="K4" t="e">
        <f>AND(Competitor!L32,"AAAAAHradwo=")</f>
        <v>#VALUE!</v>
      </c>
      <c r="L4" t="e">
        <f>AND(Competitor!M32,"AAAAAHradws=")</f>
        <v>#VALUE!</v>
      </c>
      <c r="M4" t="e">
        <f>AND(Competitor!N32,"AAAAAHradww=")</f>
        <v>#VALUE!</v>
      </c>
      <c r="N4" t="e">
        <f>AND(Competitor!O32,"AAAAAHradw0=")</f>
        <v>#VALUE!</v>
      </c>
      <c r="O4" t="e">
        <f>AND(Competitor!P32,"AAAAAHradw4=")</f>
        <v>#VALUE!</v>
      </c>
      <c r="P4">
        <f>IF(Competitor!33:33,"AAAAAHradw8=",0)</f>
        <v>0</v>
      </c>
      <c r="Q4" t="b">
        <f>AND(Competitor!A33,"AAAAAHradxA=")</f>
        <v>1</v>
      </c>
      <c r="R4" t="e">
        <f>AND(Competitor!B33,"AAAAAHradxE=")</f>
        <v>#VALUE!</v>
      </c>
      <c r="S4" t="e">
        <f>AND(Competitor!C33,"AAAAAHradxI=")</f>
        <v>#VALUE!</v>
      </c>
      <c r="T4" t="e">
        <f>AND(Competitor!D33,"AAAAAHradxM=")</f>
        <v>#VALUE!</v>
      </c>
      <c r="U4" t="e">
        <f>AND(Competitor!E33,"AAAAAHradxQ=")</f>
        <v>#VALUE!</v>
      </c>
      <c r="V4" t="e">
        <f>AND(Competitor!F33,"AAAAAHradxU=")</f>
        <v>#VALUE!</v>
      </c>
      <c r="W4" t="b">
        <f>AND(Competitor!G33,"AAAAAHradxY=")</f>
        <v>0</v>
      </c>
      <c r="X4" t="e">
        <f>AND(Competitor!H33,"AAAAAHradxc=")</f>
        <v>#VALUE!</v>
      </c>
      <c r="Y4" t="e">
        <f>AND(Competitor!I33,"AAAAAHradxg=")</f>
        <v>#VALUE!</v>
      </c>
      <c r="Z4" t="e">
        <f>AND(Competitor!J33,"AAAAAHradxk=")</f>
        <v>#VALUE!</v>
      </c>
      <c r="AA4" t="e">
        <f>AND(Competitor!K33,"AAAAAHradxo=")</f>
        <v>#VALUE!</v>
      </c>
      <c r="AB4" t="e">
        <f>AND(Competitor!L33,"AAAAAHradxs=")</f>
        <v>#VALUE!</v>
      </c>
      <c r="AC4" t="e">
        <f>AND(Competitor!M33,"AAAAAHradxw=")</f>
        <v>#VALUE!</v>
      </c>
      <c r="AD4" t="e">
        <f>AND(Competitor!N33,"AAAAAHradx0=")</f>
        <v>#VALUE!</v>
      </c>
      <c r="AE4" t="e">
        <f>AND(Competitor!O33,"AAAAAHradx4=")</f>
        <v>#VALUE!</v>
      </c>
      <c r="AF4" t="e">
        <f>AND(Competitor!P33,"AAAAAHradx8=")</f>
        <v>#VALUE!</v>
      </c>
      <c r="AG4">
        <f>IF(Competitor!34:34,"AAAAAHradyA=",0)</f>
        <v>0</v>
      </c>
      <c r="AH4" t="b">
        <f>AND(Competitor!A34,"AAAAAHradyE=")</f>
        <v>1</v>
      </c>
      <c r="AI4" t="e">
        <f>AND(Competitor!B34,"AAAAAHradyI=")</f>
        <v>#VALUE!</v>
      </c>
      <c r="AJ4" t="e">
        <f>AND(Competitor!C34,"AAAAAHradyM=")</f>
        <v>#VALUE!</v>
      </c>
      <c r="AK4" t="e">
        <f>AND(Competitor!D34,"AAAAAHradyQ=")</f>
        <v>#VALUE!</v>
      </c>
      <c r="AL4" t="e">
        <f>AND(Competitor!E34,"AAAAAHradyU=")</f>
        <v>#VALUE!</v>
      </c>
      <c r="AM4" t="e">
        <f>AND(Competitor!F34,"AAAAAHradyY=")</f>
        <v>#VALUE!</v>
      </c>
      <c r="AN4" t="b">
        <f>AND(Competitor!G34,"AAAAAHradyc=")</f>
        <v>0</v>
      </c>
      <c r="AO4" t="e">
        <f>AND(Competitor!H34,"AAAAAHradyg=")</f>
        <v>#VALUE!</v>
      </c>
      <c r="AP4" t="e">
        <f>AND(Competitor!I34,"AAAAAHradyk=")</f>
        <v>#VALUE!</v>
      </c>
      <c r="AQ4" t="e">
        <f>AND(Competitor!J34,"AAAAAHradyo=")</f>
        <v>#VALUE!</v>
      </c>
      <c r="AR4" t="e">
        <f>AND(Competitor!K34,"AAAAAHradys=")</f>
        <v>#VALUE!</v>
      </c>
      <c r="AS4" t="e">
        <f>AND(Competitor!L34,"AAAAAHradyw=")</f>
        <v>#VALUE!</v>
      </c>
      <c r="AT4" t="e">
        <f>AND(Competitor!M34,"AAAAAHrady0=")</f>
        <v>#VALUE!</v>
      </c>
      <c r="AU4" t="e">
        <f>AND(Competitor!N34,"AAAAAHrady4=")</f>
        <v>#VALUE!</v>
      </c>
      <c r="AV4" t="e">
        <f>AND(Competitor!O34,"AAAAAHrady8=")</f>
        <v>#VALUE!</v>
      </c>
      <c r="AW4" t="e">
        <f>AND(Competitor!P34,"AAAAAHradzA=")</f>
        <v>#VALUE!</v>
      </c>
      <c r="AX4">
        <f>IF(Competitor!35:35,"AAAAAHradzE=",0)</f>
        <v>0</v>
      </c>
      <c r="AY4" t="b">
        <f>AND(Competitor!A35,"AAAAAHradzI=")</f>
        <v>1</v>
      </c>
      <c r="AZ4" t="e">
        <f>AND(Competitor!B35,"AAAAAHradzM=")</f>
        <v>#VALUE!</v>
      </c>
      <c r="BA4" t="e">
        <f>AND(Competitor!C35,"AAAAAHradzQ=")</f>
        <v>#VALUE!</v>
      </c>
      <c r="BB4" t="e">
        <f>AND(Competitor!D35,"AAAAAHradzU=")</f>
        <v>#VALUE!</v>
      </c>
      <c r="BC4" t="e">
        <f>AND(Competitor!E35,"AAAAAHradzY=")</f>
        <v>#VALUE!</v>
      </c>
      <c r="BD4" t="e">
        <f>AND(Competitor!F35,"AAAAAHradzc=")</f>
        <v>#VALUE!</v>
      </c>
      <c r="BE4" t="b">
        <f>AND(Competitor!G35,"AAAAAHradzg=")</f>
        <v>0</v>
      </c>
      <c r="BF4" t="e">
        <f>AND(Competitor!H35,"AAAAAHradzk=")</f>
        <v>#VALUE!</v>
      </c>
      <c r="BG4" t="e">
        <f>AND(Competitor!I35,"AAAAAHradzo=")</f>
        <v>#VALUE!</v>
      </c>
      <c r="BH4" t="e">
        <f>AND(Competitor!J35,"AAAAAHradzs=")</f>
        <v>#VALUE!</v>
      </c>
      <c r="BI4" t="e">
        <f>AND(Competitor!K35,"AAAAAHradzw=")</f>
        <v>#VALUE!</v>
      </c>
      <c r="BJ4" t="e">
        <f>AND(Competitor!L35,"AAAAAHradz0=")</f>
        <v>#VALUE!</v>
      </c>
      <c r="BK4" t="e">
        <f>AND(Competitor!M35,"AAAAAHradz4=")</f>
        <v>#VALUE!</v>
      </c>
      <c r="BL4" t="e">
        <f>AND(Competitor!N35,"AAAAAHradz8=")</f>
        <v>#VALUE!</v>
      </c>
      <c r="BM4" t="e">
        <f>AND(Competitor!O35,"AAAAAHrad0A=")</f>
        <v>#VALUE!</v>
      </c>
      <c r="BN4" t="e">
        <f>AND(Competitor!P35,"AAAAAHrad0E=")</f>
        <v>#VALUE!</v>
      </c>
      <c r="BO4">
        <f>IF(Competitor!36:36,"AAAAAHrad0I=",0)</f>
        <v>0</v>
      </c>
      <c r="BP4" t="b">
        <f>AND(Competitor!A36,"AAAAAHrad0M=")</f>
        <v>1</v>
      </c>
      <c r="BQ4" t="e">
        <f>AND(Competitor!B36,"AAAAAHrad0Q=")</f>
        <v>#VALUE!</v>
      </c>
      <c r="BR4" t="e">
        <f>AND(Competitor!C36,"AAAAAHrad0U=")</f>
        <v>#VALUE!</v>
      </c>
      <c r="BS4" t="e">
        <f>AND(Competitor!D36,"AAAAAHrad0Y=")</f>
        <v>#VALUE!</v>
      </c>
      <c r="BT4" t="e">
        <f>AND(Competitor!E36,"AAAAAHrad0c=")</f>
        <v>#VALUE!</v>
      </c>
      <c r="BU4" t="e">
        <f>AND(Competitor!F36,"AAAAAHrad0g=")</f>
        <v>#VALUE!</v>
      </c>
      <c r="BV4" t="b">
        <f>AND(Competitor!G36,"AAAAAHrad0k=")</f>
        <v>0</v>
      </c>
      <c r="BW4" t="e">
        <f>AND(Competitor!H36,"AAAAAHrad0o=")</f>
        <v>#VALUE!</v>
      </c>
      <c r="BX4" t="e">
        <f>AND(Competitor!I36,"AAAAAHrad0s=")</f>
        <v>#VALUE!</v>
      </c>
      <c r="BY4" t="e">
        <f>AND(Competitor!J36,"AAAAAHrad0w=")</f>
        <v>#VALUE!</v>
      </c>
      <c r="BZ4" t="e">
        <f>AND(Competitor!K36,"AAAAAHrad00=")</f>
        <v>#VALUE!</v>
      </c>
      <c r="CA4" t="e">
        <f>AND(Competitor!L36,"AAAAAHrad04=")</f>
        <v>#VALUE!</v>
      </c>
      <c r="CB4" t="e">
        <f>AND(Competitor!M36,"AAAAAHrad08=")</f>
        <v>#VALUE!</v>
      </c>
      <c r="CC4" t="e">
        <f>AND(Competitor!N36,"AAAAAHrad1A=")</f>
        <v>#VALUE!</v>
      </c>
      <c r="CD4" t="e">
        <f>AND(Competitor!O36,"AAAAAHrad1E=")</f>
        <v>#VALUE!</v>
      </c>
      <c r="CE4" t="e">
        <f>AND(Competitor!P36,"AAAAAHrad1I=")</f>
        <v>#VALUE!</v>
      </c>
      <c r="CF4">
        <f>IF(Competitor!37:37,"AAAAAHrad1M=",0)</f>
        <v>0</v>
      </c>
      <c r="CG4" t="b">
        <f>AND(Competitor!A37,"AAAAAHrad1Q=")</f>
        <v>1</v>
      </c>
      <c r="CH4" t="e">
        <f>AND(Competitor!B37,"AAAAAHrad1U=")</f>
        <v>#VALUE!</v>
      </c>
      <c r="CI4" t="e">
        <f>AND(Competitor!C37,"AAAAAHrad1Y=")</f>
        <v>#VALUE!</v>
      </c>
      <c r="CJ4" t="e">
        <f>AND(Competitor!D37,"AAAAAHrad1c=")</f>
        <v>#VALUE!</v>
      </c>
      <c r="CK4" t="e">
        <f>AND(Competitor!E37,"AAAAAHrad1g=")</f>
        <v>#VALUE!</v>
      </c>
      <c r="CL4" t="e">
        <f>AND(Competitor!F37,"AAAAAHrad1k=")</f>
        <v>#VALUE!</v>
      </c>
      <c r="CM4" t="b">
        <f>AND(Competitor!G37,"AAAAAHrad1o=")</f>
        <v>0</v>
      </c>
      <c r="CN4" t="e">
        <f>AND(Competitor!H37,"AAAAAHrad1s=")</f>
        <v>#VALUE!</v>
      </c>
      <c r="CO4" t="e">
        <f>AND(Competitor!I37,"AAAAAHrad1w=")</f>
        <v>#VALUE!</v>
      </c>
      <c r="CP4" t="e">
        <f>AND(Competitor!J37,"AAAAAHrad10=")</f>
        <v>#VALUE!</v>
      </c>
      <c r="CQ4" t="e">
        <f>AND(Competitor!K37,"AAAAAHrad14=")</f>
        <v>#VALUE!</v>
      </c>
      <c r="CR4" t="e">
        <f>AND(Competitor!L37,"AAAAAHrad18=")</f>
        <v>#VALUE!</v>
      </c>
      <c r="CS4" t="e">
        <f>AND(Competitor!M37,"AAAAAHrad2A=")</f>
        <v>#VALUE!</v>
      </c>
      <c r="CT4" t="e">
        <f>AND(Competitor!N37,"AAAAAHrad2E=")</f>
        <v>#VALUE!</v>
      </c>
      <c r="CU4" t="e">
        <f>AND(Competitor!O37,"AAAAAHrad2I=")</f>
        <v>#VALUE!</v>
      </c>
      <c r="CV4" t="e">
        <f>AND(Competitor!P37,"AAAAAHrad2M=")</f>
        <v>#VALUE!</v>
      </c>
      <c r="CW4">
        <f>IF(Competitor!38:38,"AAAAAHrad2Q=",0)</f>
        <v>0</v>
      </c>
      <c r="CX4" t="b">
        <f>AND(Competitor!A38,"AAAAAHrad2U=")</f>
        <v>1</v>
      </c>
      <c r="CY4" t="e">
        <f>AND(Competitor!B38,"AAAAAHrad2Y=")</f>
        <v>#VALUE!</v>
      </c>
      <c r="CZ4" t="e">
        <f>AND(Competitor!C38,"AAAAAHrad2c=")</f>
        <v>#VALUE!</v>
      </c>
      <c r="DA4" t="e">
        <f>AND(Competitor!D38,"AAAAAHrad2g=")</f>
        <v>#VALUE!</v>
      </c>
      <c r="DB4" t="e">
        <f>AND(Competitor!E38,"AAAAAHrad2k=")</f>
        <v>#VALUE!</v>
      </c>
      <c r="DC4" t="e">
        <f>AND(Competitor!F38,"AAAAAHrad2o=")</f>
        <v>#VALUE!</v>
      </c>
      <c r="DD4" t="b">
        <f>AND(Competitor!G38,"AAAAAHrad2s=")</f>
        <v>0</v>
      </c>
      <c r="DE4" t="e">
        <f>AND(Competitor!H38,"AAAAAHrad2w=")</f>
        <v>#VALUE!</v>
      </c>
      <c r="DF4" t="e">
        <f>AND(Competitor!I38,"AAAAAHrad20=")</f>
        <v>#VALUE!</v>
      </c>
      <c r="DG4" t="e">
        <f>AND(Competitor!J38,"AAAAAHrad24=")</f>
        <v>#VALUE!</v>
      </c>
      <c r="DH4" t="e">
        <f>AND(Competitor!K38,"AAAAAHrad28=")</f>
        <v>#VALUE!</v>
      </c>
      <c r="DI4" t="e">
        <f>AND(Competitor!L38,"AAAAAHrad3A=")</f>
        <v>#VALUE!</v>
      </c>
      <c r="DJ4" t="e">
        <f>AND(Competitor!M38,"AAAAAHrad3E=")</f>
        <v>#VALUE!</v>
      </c>
      <c r="DK4" t="e">
        <f>AND(Competitor!N38,"AAAAAHrad3I=")</f>
        <v>#VALUE!</v>
      </c>
      <c r="DL4" t="e">
        <f>AND(Competitor!O38,"AAAAAHrad3M=")</f>
        <v>#VALUE!</v>
      </c>
      <c r="DM4" t="e">
        <f>AND(Competitor!P38,"AAAAAHrad3Q=")</f>
        <v>#VALUE!</v>
      </c>
      <c r="DN4">
        <f>IF(Competitor!39:39,"AAAAAHrad3U=",0)</f>
        <v>0</v>
      </c>
      <c r="DO4" t="b">
        <f>AND(Competitor!A39,"AAAAAHrad3Y=")</f>
        <v>1</v>
      </c>
      <c r="DP4" t="e">
        <f>AND(Competitor!B39,"AAAAAHrad3c=")</f>
        <v>#VALUE!</v>
      </c>
      <c r="DQ4" t="e">
        <f>AND(Competitor!C39,"AAAAAHrad3g=")</f>
        <v>#VALUE!</v>
      </c>
      <c r="DR4" t="e">
        <f>AND(Competitor!D39,"AAAAAHrad3k=")</f>
        <v>#VALUE!</v>
      </c>
      <c r="DS4" t="e">
        <f>AND(Competitor!E39,"AAAAAHrad3o=")</f>
        <v>#VALUE!</v>
      </c>
      <c r="DT4" t="e">
        <f>AND(Competitor!F39,"AAAAAHrad3s=")</f>
        <v>#VALUE!</v>
      </c>
      <c r="DU4" t="b">
        <f>AND(Competitor!G39,"AAAAAHrad3w=")</f>
        <v>0</v>
      </c>
      <c r="DV4" t="e">
        <f>AND(Competitor!H39,"AAAAAHrad30=")</f>
        <v>#VALUE!</v>
      </c>
      <c r="DW4" t="e">
        <f>AND(Competitor!I39,"AAAAAHrad34=")</f>
        <v>#VALUE!</v>
      </c>
      <c r="DX4" t="e">
        <f>AND(Competitor!J39,"AAAAAHrad38=")</f>
        <v>#VALUE!</v>
      </c>
      <c r="DY4" t="e">
        <f>AND(Competitor!K39,"AAAAAHrad4A=")</f>
        <v>#VALUE!</v>
      </c>
      <c r="DZ4" t="e">
        <f>AND(Competitor!L39,"AAAAAHrad4E=")</f>
        <v>#VALUE!</v>
      </c>
      <c r="EA4" t="e">
        <f>AND(Competitor!M39,"AAAAAHrad4I=")</f>
        <v>#VALUE!</v>
      </c>
      <c r="EB4" t="e">
        <f>AND(Competitor!N39,"AAAAAHrad4M=")</f>
        <v>#VALUE!</v>
      </c>
      <c r="EC4" t="e">
        <f>AND(Competitor!O39,"AAAAAHrad4Q=")</f>
        <v>#VALUE!</v>
      </c>
      <c r="ED4" t="e">
        <f>AND(Competitor!P39,"AAAAAHrad4U=")</f>
        <v>#VALUE!</v>
      </c>
      <c r="EE4">
        <f>IF(Competitor!40:40,"AAAAAHrad4Y=",0)</f>
        <v>0</v>
      </c>
      <c r="EF4" t="b">
        <f>AND(Competitor!A40,"AAAAAHrad4c=")</f>
        <v>1</v>
      </c>
      <c r="EG4" t="e">
        <f>AND(Competitor!B40,"AAAAAHrad4g=")</f>
        <v>#VALUE!</v>
      </c>
      <c r="EH4" t="e">
        <f>AND(Competitor!C40,"AAAAAHrad4k=")</f>
        <v>#VALUE!</v>
      </c>
      <c r="EI4" t="e">
        <f>AND(Competitor!D40,"AAAAAHrad4o=")</f>
        <v>#VALUE!</v>
      </c>
      <c r="EJ4" t="e">
        <f>AND(Competitor!E40,"AAAAAHrad4s=")</f>
        <v>#VALUE!</v>
      </c>
      <c r="EK4" t="e">
        <f>AND(Competitor!F40,"AAAAAHrad4w=")</f>
        <v>#VALUE!</v>
      </c>
      <c r="EL4" t="b">
        <f>AND(Competitor!G40,"AAAAAHrad40=")</f>
        <v>0</v>
      </c>
      <c r="EM4" t="e">
        <f>AND(Competitor!H40,"AAAAAHrad44=")</f>
        <v>#VALUE!</v>
      </c>
      <c r="EN4" t="e">
        <f>AND(Competitor!I40,"AAAAAHrad48=")</f>
        <v>#VALUE!</v>
      </c>
      <c r="EO4" t="e">
        <f>AND(Competitor!J40,"AAAAAHrad5A=")</f>
        <v>#VALUE!</v>
      </c>
      <c r="EP4" t="e">
        <f>AND(Competitor!K40,"AAAAAHrad5E=")</f>
        <v>#VALUE!</v>
      </c>
      <c r="EQ4" t="e">
        <f>AND(Competitor!L40,"AAAAAHrad5I=")</f>
        <v>#VALUE!</v>
      </c>
      <c r="ER4" t="e">
        <f>AND(Competitor!M40,"AAAAAHrad5M=")</f>
        <v>#VALUE!</v>
      </c>
      <c r="ES4" t="e">
        <f>AND(Competitor!N40,"AAAAAHrad5Q=")</f>
        <v>#VALUE!</v>
      </c>
      <c r="ET4" t="e">
        <f>AND(Competitor!O40,"AAAAAHrad5U=")</f>
        <v>#VALUE!</v>
      </c>
      <c r="EU4" t="e">
        <f>AND(Competitor!P40,"AAAAAHrad5Y=")</f>
        <v>#VALUE!</v>
      </c>
      <c r="EV4">
        <f>IF(Competitor!41:41,"AAAAAHrad5c=",0)</f>
        <v>0</v>
      </c>
      <c r="EW4" t="b">
        <f>AND(Competitor!A41,"AAAAAHrad5g=")</f>
        <v>1</v>
      </c>
      <c r="EX4" t="e">
        <f>AND(Competitor!B41,"AAAAAHrad5k=")</f>
        <v>#VALUE!</v>
      </c>
      <c r="EY4" t="e">
        <f>AND(Competitor!C41,"AAAAAHrad5o=")</f>
        <v>#VALUE!</v>
      </c>
      <c r="EZ4" t="e">
        <f>AND(Competitor!D41,"AAAAAHrad5s=")</f>
        <v>#VALUE!</v>
      </c>
      <c r="FA4" t="e">
        <f>AND(Competitor!E41,"AAAAAHrad5w=")</f>
        <v>#VALUE!</v>
      </c>
      <c r="FB4" t="e">
        <f>AND(Competitor!F41,"AAAAAHrad50=")</f>
        <v>#VALUE!</v>
      </c>
      <c r="FC4" t="b">
        <f>AND(Competitor!G41,"AAAAAHrad54=")</f>
        <v>0</v>
      </c>
      <c r="FD4" t="e">
        <f>AND(Competitor!H41,"AAAAAHrad58=")</f>
        <v>#VALUE!</v>
      </c>
      <c r="FE4" t="e">
        <f>AND(Competitor!I41,"AAAAAHrad6A=")</f>
        <v>#VALUE!</v>
      </c>
      <c r="FF4" t="e">
        <f>AND(Competitor!J41,"AAAAAHrad6E=")</f>
        <v>#VALUE!</v>
      </c>
      <c r="FG4" t="e">
        <f>AND(Competitor!K41,"AAAAAHrad6I=")</f>
        <v>#VALUE!</v>
      </c>
      <c r="FH4" t="e">
        <f>AND(Competitor!L41,"AAAAAHrad6M=")</f>
        <v>#VALUE!</v>
      </c>
      <c r="FI4" t="e">
        <f>AND(Competitor!M41,"AAAAAHrad6Q=")</f>
        <v>#VALUE!</v>
      </c>
      <c r="FJ4" t="e">
        <f>AND(Competitor!N41,"AAAAAHrad6U=")</f>
        <v>#VALUE!</v>
      </c>
      <c r="FK4" t="e">
        <f>AND(Competitor!O41,"AAAAAHrad6Y=")</f>
        <v>#VALUE!</v>
      </c>
      <c r="FL4" t="e">
        <f>AND(Competitor!P41,"AAAAAHrad6c=")</f>
        <v>#VALUE!</v>
      </c>
      <c r="FM4">
        <f>IF(Competitor!42:42,"AAAAAHrad6g=",0)</f>
        <v>0</v>
      </c>
      <c r="FN4" t="b">
        <f>AND(Competitor!A42,"AAAAAHrad6k=")</f>
        <v>1</v>
      </c>
      <c r="FO4" t="e">
        <f>AND(Competitor!B42,"AAAAAHrad6o=")</f>
        <v>#VALUE!</v>
      </c>
      <c r="FP4" t="e">
        <f>AND(Competitor!C42,"AAAAAHrad6s=")</f>
        <v>#VALUE!</v>
      </c>
      <c r="FQ4" t="e">
        <f>AND(Competitor!D42,"AAAAAHrad6w=")</f>
        <v>#VALUE!</v>
      </c>
      <c r="FR4" t="e">
        <f>AND(Competitor!E42,"AAAAAHrad60=")</f>
        <v>#VALUE!</v>
      </c>
      <c r="FS4" t="e">
        <f>AND(Competitor!F42,"AAAAAHrad64=")</f>
        <v>#VALUE!</v>
      </c>
      <c r="FT4" t="b">
        <f>AND(Competitor!G42,"AAAAAHrad68=")</f>
        <v>0</v>
      </c>
      <c r="FU4" t="e">
        <f>AND(Competitor!H42,"AAAAAHrad7A=")</f>
        <v>#VALUE!</v>
      </c>
      <c r="FV4" t="e">
        <f>AND(Competitor!I42,"AAAAAHrad7E=")</f>
        <v>#VALUE!</v>
      </c>
      <c r="FW4" t="e">
        <f>AND(Competitor!J42,"AAAAAHrad7I=")</f>
        <v>#VALUE!</v>
      </c>
      <c r="FX4" t="e">
        <f>AND(Competitor!K42,"AAAAAHrad7M=")</f>
        <v>#VALUE!</v>
      </c>
      <c r="FY4" t="e">
        <f>AND(Competitor!L42,"AAAAAHrad7Q=")</f>
        <v>#VALUE!</v>
      </c>
      <c r="FZ4" t="e">
        <f>AND(Competitor!M42,"AAAAAHrad7U=")</f>
        <v>#VALUE!</v>
      </c>
      <c r="GA4" t="e">
        <f>AND(Competitor!N42,"AAAAAHrad7Y=")</f>
        <v>#VALUE!</v>
      </c>
      <c r="GB4" t="e">
        <f>AND(Competitor!O42,"AAAAAHrad7c=")</f>
        <v>#VALUE!</v>
      </c>
      <c r="GC4" t="e">
        <f>AND(Competitor!P42,"AAAAAHrad7g=")</f>
        <v>#VALUE!</v>
      </c>
      <c r="GD4">
        <f>IF(Competitor!43:43,"AAAAAHrad7k=",0)</f>
        <v>0</v>
      </c>
      <c r="GE4" t="b">
        <f>AND(Competitor!A43,"AAAAAHrad7o=")</f>
        <v>1</v>
      </c>
      <c r="GF4" t="e">
        <f>AND(Competitor!B43,"AAAAAHrad7s=")</f>
        <v>#VALUE!</v>
      </c>
      <c r="GG4" t="e">
        <f>AND(Competitor!C43,"AAAAAHrad7w=")</f>
        <v>#VALUE!</v>
      </c>
      <c r="GH4" t="e">
        <f>AND(Competitor!D43,"AAAAAHrad70=")</f>
        <v>#VALUE!</v>
      </c>
      <c r="GI4" t="e">
        <f>AND(Competitor!E43,"AAAAAHrad74=")</f>
        <v>#VALUE!</v>
      </c>
      <c r="GJ4" t="e">
        <f>AND(Competitor!F43,"AAAAAHrad78=")</f>
        <v>#VALUE!</v>
      </c>
      <c r="GK4" t="b">
        <f>AND(Competitor!G43,"AAAAAHrad8A=")</f>
        <v>0</v>
      </c>
      <c r="GL4" t="e">
        <f>AND(Competitor!H43,"AAAAAHrad8E=")</f>
        <v>#VALUE!</v>
      </c>
      <c r="GM4" t="e">
        <f>AND(Competitor!I43,"AAAAAHrad8I=")</f>
        <v>#VALUE!</v>
      </c>
      <c r="GN4" t="e">
        <f>AND(Competitor!J43,"AAAAAHrad8M=")</f>
        <v>#VALUE!</v>
      </c>
      <c r="GO4" t="e">
        <f>AND(Competitor!K43,"AAAAAHrad8Q=")</f>
        <v>#VALUE!</v>
      </c>
      <c r="GP4" t="e">
        <f>AND(Competitor!L43,"AAAAAHrad8U=")</f>
        <v>#VALUE!</v>
      </c>
      <c r="GQ4" t="e">
        <f>AND(Competitor!M43,"AAAAAHrad8Y=")</f>
        <v>#VALUE!</v>
      </c>
      <c r="GR4" t="e">
        <f>AND(Competitor!N43,"AAAAAHrad8c=")</f>
        <v>#VALUE!</v>
      </c>
      <c r="GS4" t="e">
        <f>AND(Competitor!O43,"AAAAAHrad8g=")</f>
        <v>#VALUE!</v>
      </c>
      <c r="GT4" t="e">
        <f>AND(Competitor!P43,"AAAAAHrad8k=")</f>
        <v>#VALUE!</v>
      </c>
      <c r="GU4">
        <f>IF(Competitor!44:44,"AAAAAHrad8o=",0)</f>
        <v>0</v>
      </c>
      <c r="GV4" t="b">
        <f>AND(Competitor!A44,"AAAAAHrad8s=")</f>
        <v>1</v>
      </c>
      <c r="GW4" t="e">
        <f>AND(Competitor!B44,"AAAAAHrad8w=")</f>
        <v>#VALUE!</v>
      </c>
      <c r="GX4" t="e">
        <f>AND(Competitor!C44,"AAAAAHrad80=")</f>
        <v>#VALUE!</v>
      </c>
      <c r="GY4" t="e">
        <f>AND(Competitor!D44,"AAAAAHrad84=")</f>
        <v>#VALUE!</v>
      </c>
      <c r="GZ4" t="e">
        <f>AND(Competitor!E44,"AAAAAHrad88=")</f>
        <v>#VALUE!</v>
      </c>
      <c r="HA4" t="e">
        <f>AND(Competitor!F44,"AAAAAHrad9A=")</f>
        <v>#VALUE!</v>
      </c>
      <c r="HB4" t="b">
        <f>AND(Competitor!G44,"AAAAAHrad9E=")</f>
        <v>0</v>
      </c>
      <c r="HC4" t="e">
        <f>AND(Competitor!H44,"AAAAAHrad9I=")</f>
        <v>#VALUE!</v>
      </c>
      <c r="HD4" t="e">
        <f>AND(Competitor!I44,"AAAAAHrad9M=")</f>
        <v>#VALUE!</v>
      </c>
      <c r="HE4" t="e">
        <f>AND(Competitor!J44,"AAAAAHrad9Q=")</f>
        <v>#VALUE!</v>
      </c>
      <c r="HF4" t="e">
        <f>AND(Competitor!K44,"AAAAAHrad9U=")</f>
        <v>#VALUE!</v>
      </c>
      <c r="HG4" t="e">
        <f>AND(Competitor!L44,"AAAAAHrad9Y=")</f>
        <v>#VALUE!</v>
      </c>
      <c r="HH4" t="e">
        <f>AND(Competitor!M44,"AAAAAHrad9c=")</f>
        <v>#VALUE!</v>
      </c>
      <c r="HI4" t="e">
        <f>AND(Competitor!N44,"AAAAAHrad9g=")</f>
        <v>#VALUE!</v>
      </c>
      <c r="HJ4" t="e">
        <f>AND(Competitor!O44,"AAAAAHrad9k=")</f>
        <v>#VALUE!</v>
      </c>
      <c r="HK4" t="e">
        <f>AND(Competitor!P44,"AAAAAHrad9o=")</f>
        <v>#VALUE!</v>
      </c>
      <c r="HL4">
        <f>IF(Competitor!45:45,"AAAAAHrad9s=",0)</f>
        <v>0</v>
      </c>
      <c r="HM4" t="b">
        <f>AND(Competitor!A45,"AAAAAHrad9w=")</f>
        <v>1</v>
      </c>
      <c r="HN4" t="e">
        <f>AND(Competitor!B45,"AAAAAHrad90=")</f>
        <v>#VALUE!</v>
      </c>
      <c r="HO4" t="e">
        <f>AND(Competitor!C45,"AAAAAHrad94=")</f>
        <v>#VALUE!</v>
      </c>
      <c r="HP4" t="e">
        <f>AND(Competitor!D45,"AAAAAHrad98=")</f>
        <v>#VALUE!</v>
      </c>
      <c r="HQ4" t="e">
        <f>AND(Competitor!E45,"AAAAAHrad+A=")</f>
        <v>#VALUE!</v>
      </c>
      <c r="HR4" t="e">
        <f>AND(Competitor!F45,"AAAAAHrad+E=")</f>
        <v>#VALUE!</v>
      </c>
      <c r="HS4" t="b">
        <f>AND(Competitor!G45,"AAAAAHrad+I=")</f>
        <v>0</v>
      </c>
      <c r="HT4" t="e">
        <f>AND(Competitor!H45,"AAAAAHrad+M=")</f>
        <v>#VALUE!</v>
      </c>
      <c r="HU4" t="e">
        <f>AND(Competitor!I45,"AAAAAHrad+Q=")</f>
        <v>#VALUE!</v>
      </c>
      <c r="HV4" t="e">
        <f>AND(Competitor!J45,"AAAAAHrad+U=")</f>
        <v>#VALUE!</v>
      </c>
      <c r="HW4" t="e">
        <f>AND(Competitor!K45,"AAAAAHrad+Y=")</f>
        <v>#VALUE!</v>
      </c>
      <c r="HX4" t="e">
        <f>AND(Competitor!L45,"AAAAAHrad+c=")</f>
        <v>#VALUE!</v>
      </c>
      <c r="HY4" t="e">
        <f>AND(Competitor!M45,"AAAAAHrad+g=")</f>
        <v>#VALUE!</v>
      </c>
      <c r="HZ4" t="e">
        <f>AND(Competitor!N45,"AAAAAHrad+k=")</f>
        <v>#VALUE!</v>
      </c>
      <c r="IA4" t="e">
        <f>AND(Competitor!O45,"AAAAAHrad+o=")</f>
        <v>#VALUE!</v>
      </c>
      <c r="IB4" t="e">
        <f>AND(Competitor!P45,"AAAAAHrad+s=")</f>
        <v>#VALUE!</v>
      </c>
      <c r="IC4">
        <f>IF(Competitor!46:46,"AAAAAHrad+w=",0)</f>
        <v>0</v>
      </c>
      <c r="ID4" t="b">
        <f>AND(Competitor!A46,"AAAAAHrad+0=")</f>
        <v>1</v>
      </c>
      <c r="IE4" t="e">
        <f>AND(Competitor!B46,"AAAAAHrad+4=")</f>
        <v>#VALUE!</v>
      </c>
      <c r="IF4" t="e">
        <f>AND(Competitor!C46,"AAAAAHrad+8=")</f>
        <v>#VALUE!</v>
      </c>
      <c r="IG4" t="e">
        <f>AND(Competitor!D46,"AAAAAHrad/A=")</f>
        <v>#VALUE!</v>
      </c>
      <c r="IH4" t="e">
        <f>AND(Competitor!E46,"AAAAAHrad/E=")</f>
        <v>#VALUE!</v>
      </c>
      <c r="II4" t="e">
        <f>AND(Competitor!F46,"AAAAAHrad/I=")</f>
        <v>#VALUE!</v>
      </c>
      <c r="IJ4" t="b">
        <f>AND(Competitor!G46,"AAAAAHrad/M=")</f>
        <v>0</v>
      </c>
      <c r="IK4" t="e">
        <f>AND(Competitor!H46,"AAAAAHrad/Q=")</f>
        <v>#VALUE!</v>
      </c>
      <c r="IL4" t="e">
        <f>AND(Competitor!I46,"AAAAAHrad/U=")</f>
        <v>#VALUE!</v>
      </c>
      <c r="IM4" t="e">
        <f>AND(Competitor!J46,"AAAAAHrad/Y=")</f>
        <v>#VALUE!</v>
      </c>
      <c r="IN4" t="e">
        <f>AND(Competitor!K46,"AAAAAHrad/c=")</f>
        <v>#VALUE!</v>
      </c>
      <c r="IO4" t="e">
        <f>AND(Competitor!L46,"AAAAAHrad/g=")</f>
        <v>#VALUE!</v>
      </c>
      <c r="IP4" t="e">
        <f>AND(Competitor!M46,"AAAAAHrad/k=")</f>
        <v>#VALUE!</v>
      </c>
      <c r="IQ4" t="e">
        <f>AND(Competitor!N46,"AAAAAHrad/o=")</f>
        <v>#VALUE!</v>
      </c>
      <c r="IR4" t="e">
        <f>AND(Competitor!O46,"AAAAAHrad/s=")</f>
        <v>#VALUE!</v>
      </c>
      <c r="IS4" t="e">
        <f>AND(Competitor!P46,"AAAAAHrad/w=")</f>
        <v>#VALUE!</v>
      </c>
      <c r="IT4">
        <f>IF(Competitor!47:47,"AAAAAHrad/0=",0)</f>
        <v>0</v>
      </c>
      <c r="IU4" t="b">
        <f>AND(Competitor!A47,"AAAAAHrad/4=")</f>
        <v>1</v>
      </c>
      <c r="IV4" t="e">
        <f>AND(Competitor!B47,"AAAAAHrad/8=")</f>
        <v>#VALUE!</v>
      </c>
    </row>
    <row r="5" spans="1:256" x14ac:dyDescent="0.25">
      <c r="A5" t="e">
        <f>AND(Competitor!C47,"AAAAADj1/QA=")</f>
        <v>#VALUE!</v>
      </c>
      <c r="B5" t="e">
        <f>AND(Competitor!D47,"AAAAADj1/QE=")</f>
        <v>#VALUE!</v>
      </c>
      <c r="C5" t="e">
        <f>AND(Competitor!E47,"AAAAADj1/QI=")</f>
        <v>#VALUE!</v>
      </c>
      <c r="D5" t="e">
        <f>AND(Competitor!F47,"AAAAADj1/QM=")</f>
        <v>#VALUE!</v>
      </c>
      <c r="E5" t="b">
        <f>AND(Competitor!G47,"AAAAADj1/QQ=")</f>
        <v>0</v>
      </c>
      <c r="F5" t="e">
        <f>AND(Competitor!H47,"AAAAADj1/QU=")</f>
        <v>#VALUE!</v>
      </c>
      <c r="G5" t="e">
        <f>AND(Competitor!I47,"AAAAADj1/QY=")</f>
        <v>#VALUE!</v>
      </c>
      <c r="H5" t="e">
        <f>AND(Competitor!J47,"AAAAADj1/Qc=")</f>
        <v>#VALUE!</v>
      </c>
      <c r="I5" t="e">
        <f>AND(Competitor!K47,"AAAAADj1/Qg=")</f>
        <v>#VALUE!</v>
      </c>
      <c r="J5" t="e">
        <f>AND(Competitor!L47,"AAAAADj1/Qk=")</f>
        <v>#VALUE!</v>
      </c>
      <c r="K5" t="e">
        <f>AND(Competitor!M47,"AAAAADj1/Qo=")</f>
        <v>#VALUE!</v>
      </c>
      <c r="L5" t="e">
        <f>AND(Competitor!N47,"AAAAADj1/Qs=")</f>
        <v>#VALUE!</v>
      </c>
      <c r="M5" t="e">
        <f>AND(Competitor!O47,"AAAAADj1/Qw=")</f>
        <v>#VALUE!</v>
      </c>
      <c r="N5" t="e">
        <f>AND(Competitor!P47,"AAAAADj1/Q0=")</f>
        <v>#VALUE!</v>
      </c>
      <c r="O5">
        <f>IF(Competitor!48:48,"AAAAADj1/Q4=",0)</f>
        <v>0</v>
      </c>
      <c r="P5" t="b">
        <f>AND(Competitor!A48,"AAAAADj1/Q8=")</f>
        <v>1</v>
      </c>
      <c r="Q5" t="e">
        <f>AND(Competitor!B48,"AAAAADj1/RA=")</f>
        <v>#VALUE!</v>
      </c>
      <c r="R5" t="e">
        <f>AND(Competitor!C48,"AAAAADj1/RE=")</f>
        <v>#VALUE!</v>
      </c>
      <c r="S5" t="e">
        <f>AND(Competitor!D48,"AAAAADj1/RI=")</f>
        <v>#VALUE!</v>
      </c>
      <c r="T5" t="e">
        <f>AND(Competitor!E48,"AAAAADj1/RM=")</f>
        <v>#VALUE!</v>
      </c>
      <c r="U5" t="e">
        <f>AND(Competitor!F48,"AAAAADj1/RQ=")</f>
        <v>#VALUE!</v>
      </c>
      <c r="V5" t="b">
        <f>AND(Competitor!G48,"AAAAADj1/RU=")</f>
        <v>0</v>
      </c>
      <c r="W5" t="e">
        <f>AND(Competitor!H48,"AAAAADj1/RY=")</f>
        <v>#VALUE!</v>
      </c>
      <c r="X5" t="e">
        <f>AND(Competitor!I48,"AAAAADj1/Rc=")</f>
        <v>#VALUE!</v>
      </c>
      <c r="Y5" t="e">
        <f>AND(Competitor!J48,"AAAAADj1/Rg=")</f>
        <v>#VALUE!</v>
      </c>
      <c r="Z5" t="e">
        <f>AND(Competitor!K48,"AAAAADj1/Rk=")</f>
        <v>#VALUE!</v>
      </c>
      <c r="AA5" t="e">
        <f>AND(Competitor!L48,"AAAAADj1/Ro=")</f>
        <v>#VALUE!</v>
      </c>
      <c r="AB5" t="e">
        <f>AND(Competitor!M48,"AAAAADj1/Rs=")</f>
        <v>#VALUE!</v>
      </c>
      <c r="AC5" t="e">
        <f>AND(Competitor!N48,"AAAAADj1/Rw=")</f>
        <v>#VALUE!</v>
      </c>
      <c r="AD5" t="e">
        <f>AND(Competitor!O48,"AAAAADj1/R0=")</f>
        <v>#VALUE!</v>
      </c>
      <c r="AE5" t="e">
        <f>AND(Competitor!P48,"AAAAADj1/R4=")</f>
        <v>#VALUE!</v>
      </c>
      <c r="AF5">
        <f>IF(Competitor!49:49,"AAAAADj1/R8=",0)</f>
        <v>0</v>
      </c>
      <c r="AG5" t="b">
        <f>AND(Competitor!A49,"AAAAADj1/SA=")</f>
        <v>1</v>
      </c>
      <c r="AH5" t="e">
        <f>AND(Competitor!B49,"AAAAADj1/SE=")</f>
        <v>#VALUE!</v>
      </c>
      <c r="AI5" t="e">
        <f>AND(Competitor!C49,"AAAAADj1/SI=")</f>
        <v>#VALUE!</v>
      </c>
      <c r="AJ5" t="e">
        <f>AND(Competitor!D49,"AAAAADj1/SM=")</f>
        <v>#VALUE!</v>
      </c>
      <c r="AK5" t="e">
        <f>AND(Competitor!E49,"AAAAADj1/SQ=")</f>
        <v>#VALUE!</v>
      </c>
      <c r="AL5" t="e">
        <f>AND(Competitor!F49,"AAAAADj1/SU=")</f>
        <v>#VALUE!</v>
      </c>
      <c r="AM5" t="b">
        <f>AND(Competitor!G49,"AAAAADj1/SY=")</f>
        <v>0</v>
      </c>
      <c r="AN5" t="e">
        <f>AND(Competitor!H49,"AAAAADj1/Sc=")</f>
        <v>#VALUE!</v>
      </c>
      <c r="AO5" t="e">
        <f>AND(Competitor!I49,"AAAAADj1/Sg=")</f>
        <v>#VALUE!</v>
      </c>
      <c r="AP5" t="e">
        <f>AND(Competitor!J49,"AAAAADj1/Sk=")</f>
        <v>#VALUE!</v>
      </c>
      <c r="AQ5" t="e">
        <f>AND(Competitor!K49,"AAAAADj1/So=")</f>
        <v>#VALUE!</v>
      </c>
      <c r="AR5" t="e">
        <f>AND(Competitor!L49,"AAAAADj1/Ss=")</f>
        <v>#VALUE!</v>
      </c>
      <c r="AS5" t="e">
        <f>AND(Competitor!M49,"AAAAADj1/Sw=")</f>
        <v>#VALUE!</v>
      </c>
      <c r="AT5" t="e">
        <f>AND(Competitor!N49,"AAAAADj1/S0=")</f>
        <v>#VALUE!</v>
      </c>
      <c r="AU5" t="e">
        <f>AND(Competitor!O49,"AAAAADj1/S4=")</f>
        <v>#VALUE!</v>
      </c>
      <c r="AV5" t="e">
        <f>AND(Competitor!P49,"AAAAADj1/S8=")</f>
        <v>#VALUE!</v>
      </c>
      <c r="AW5">
        <f>IF(Competitor!50:50,"AAAAADj1/TA=",0)</f>
        <v>0</v>
      </c>
      <c r="AX5" t="b">
        <f>AND(Competitor!A50,"AAAAADj1/TE=")</f>
        <v>1</v>
      </c>
      <c r="AY5" t="e">
        <f>AND(Competitor!B50,"AAAAADj1/TI=")</f>
        <v>#VALUE!</v>
      </c>
      <c r="AZ5" t="e">
        <f>AND(Competitor!C50,"AAAAADj1/TM=")</f>
        <v>#VALUE!</v>
      </c>
      <c r="BA5" t="e">
        <f>AND(Competitor!D50,"AAAAADj1/TQ=")</f>
        <v>#VALUE!</v>
      </c>
      <c r="BB5" t="e">
        <f>AND(Competitor!E50,"AAAAADj1/TU=")</f>
        <v>#VALUE!</v>
      </c>
      <c r="BC5" t="e">
        <f>AND(Competitor!F50,"AAAAADj1/TY=")</f>
        <v>#VALUE!</v>
      </c>
      <c r="BD5" t="b">
        <f>AND(Competitor!G50,"AAAAADj1/Tc=")</f>
        <v>0</v>
      </c>
      <c r="BE5" t="e">
        <f>AND(Competitor!H50,"AAAAADj1/Tg=")</f>
        <v>#VALUE!</v>
      </c>
      <c r="BF5" t="e">
        <f>AND(Competitor!I50,"AAAAADj1/Tk=")</f>
        <v>#VALUE!</v>
      </c>
      <c r="BG5" t="e">
        <f>AND(Competitor!J50,"AAAAADj1/To=")</f>
        <v>#VALUE!</v>
      </c>
      <c r="BH5" t="e">
        <f>AND(Competitor!K50,"AAAAADj1/Ts=")</f>
        <v>#VALUE!</v>
      </c>
      <c r="BI5" t="e">
        <f>AND(Competitor!L50,"AAAAADj1/Tw=")</f>
        <v>#VALUE!</v>
      </c>
      <c r="BJ5" t="e">
        <f>AND(Competitor!M50,"AAAAADj1/T0=")</f>
        <v>#VALUE!</v>
      </c>
      <c r="BK5" t="e">
        <f>AND(Competitor!N50,"AAAAADj1/T4=")</f>
        <v>#VALUE!</v>
      </c>
      <c r="BL5" t="e">
        <f>AND(Competitor!O50,"AAAAADj1/T8=")</f>
        <v>#VALUE!</v>
      </c>
      <c r="BM5" t="e">
        <f>AND(Competitor!P50,"AAAAADj1/UA=")</f>
        <v>#VALUE!</v>
      </c>
      <c r="BN5">
        <f>IF(Competitor!51:51,"AAAAADj1/UE=",0)</f>
        <v>0</v>
      </c>
      <c r="BO5" t="b">
        <f>AND(Competitor!A51,"AAAAADj1/UI=")</f>
        <v>1</v>
      </c>
      <c r="BP5" t="e">
        <f>AND(Competitor!B51,"AAAAADj1/UM=")</f>
        <v>#VALUE!</v>
      </c>
      <c r="BQ5" t="e">
        <f>AND(Competitor!C51,"AAAAADj1/UQ=")</f>
        <v>#VALUE!</v>
      </c>
      <c r="BR5" t="e">
        <f>AND(Competitor!D51,"AAAAADj1/UU=")</f>
        <v>#VALUE!</v>
      </c>
      <c r="BS5" t="e">
        <f>AND(Competitor!E51,"AAAAADj1/UY=")</f>
        <v>#VALUE!</v>
      </c>
      <c r="BT5" t="e">
        <f>AND(Competitor!F51,"AAAAADj1/Uc=")</f>
        <v>#VALUE!</v>
      </c>
      <c r="BU5" t="b">
        <f>AND(Competitor!G51,"AAAAADj1/Ug=")</f>
        <v>0</v>
      </c>
      <c r="BV5" t="e">
        <f>AND(Competitor!H51,"AAAAADj1/Uk=")</f>
        <v>#VALUE!</v>
      </c>
      <c r="BW5" t="e">
        <f>AND(Competitor!I51,"AAAAADj1/Uo=")</f>
        <v>#VALUE!</v>
      </c>
      <c r="BX5" t="e">
        <f>AND(Competitor!J51,"AAAAADj1/Us=")</f>
        <v>#VALUE!</v>
      </c>
      <c r="BY5" t="e">
        <f>AND(Competitor!K51,"AAAAADj1/Uw=")</f>
        <v>#VALUE!</v>
      </c>
      <c r="BZ5" t="e">
        <f>AND(Competitor!L51,"AAAAADj1/U0=")</f>
        <v>#VALUE!</v>
      </c>
      <c r="CA5" t="e">
        <f>AND(Competitor!M51,"AAAAADj1/U4=")</f>
        <v>#VALUE!</v>
      </c>
      <c r="CB5" t="e">
        <f>AND(Competitor!N51,"AAAAADj1/U8=")</f>
        <v>#VALUE!</v>
      </c>
      <c r="CC5" t="e">
        <f>AND(Competitor!O51,"AAAAADj1/VA=")</f>
        <v>#VALUE!</v>
      </c>
      <c r="CD5" t="e">
        <f>AND(Competitor!P51,"AAAAADj1/VE=")</f>
        <v>#VALUE!</v>
      </c>
      <c r="CE5">
        <f>IF(Competitor!52:52,"AAAAADj1/VI=",0)</f>
        <v>0</v>
      </c>
      <c r="CF5" t="b">
        <f>AND(Competitor!A52,"AAAAADj1/VM=")</f>
        <v>1</v>
      </c>
      <c r="CG5" t="e">
        <f>AND(Competitor!B52,"AAAAADj1/VQ=")</f>
        <v>#VALUE!</v>
      </c>
      <c r="CH5" t="e">
        <f>AND(Competitor!C52,"AAAAADj1/VU=")</f>
        <v>#VALUE!</v>
      </c>
      <c r="CI5" t="e">
        <f>AND(Competitor!D52,"AAAAADj1/VY=")</f>
        <v>#VALUE!</v>
      </c>
      <c r="CJ5" t="e">
        <f>AND(Competitor!E52,"AAAAADj1/Vc=")</f>
        <v>#VALUE!</v>
      </c>
      <c r="CK5" t="e">
        <f>AND(Competitor!F52,"AAAAADj1/Vg=")</f>
        <v>#VALUE!</v>
      </c>
      <c r="CL5" t="b">
        <f>AND(Competitor!G52,"AAAAADj1/Vk=")</f>
        <v>0</v>
      </c>
      <c r="CM5" t="e">
        <f>AND(Competitor!H52,"AAAAADj1/Vo=")</f>
        <v>#VALUE!</v>
      </c>
      <c r="CN5" t="e">
        <f>AND(Competitor!I52,"AAAAADj1/Vs=")</f>
        <v>#VALUE!</v>
      </c>
      <c r="CO5" t="e">
        <f>AND(Competitor!J52,"AAAAADj1/Vw=")</f>
        <v>#VALUE!</v>
      </c>
      <c r="CP5" t="e">
        <f>AND(Competitor!K52,"AAAAADj1/V0=")</f>
        <v>#VALUE!</v>
      </c>
      <c r="CQ5" t="e">
        <f>AND(Competitor!L52,"AAAAADj1/V4=")</f>
        <v>#VALUE!</v>
      </c>
      <c r="CR5" t="e">
        <f>AND(Competitor!M52,"AAAAADj1/V8=")</f>
        <v>#VALUE!</v>
      </c>
      <c r="CS5" t="e">
        <f>AND(Competitor!N52,"AAAAADj1/WA=")</f>
        <v>#VALUE!</v>
      </c>
      <c r="CT5" t="e">
        <f>AND(Competitor!O52,"AAAAADj1/WE=")</f>
        <v>#VALUE!</v>
      </c>
      <c r="CU5" t="e">
        <f>AND(Competitor!P52,"AAAAADj1/WI=")</f>
        <v>#VALUE!</v>
      </c>
      <c r="CV5">
        <f>IF(Competitor!53:53,"AAAAADj1/WM=",0)</f>
        <v>0</v>
      </c>
      <c r="CW5" t="b">
        <f>AND(Competitor!A53,"AAAAADj1/WQ=")</f>
        <v>1</v>
      </c>
      <c r="CX5" t="e">
        <f>AND(Competitor!B53,"AAAAADj1/WU=")</f>
        <v>#VALUE!</v>
      </c>
      <c r="CY5" t="e">
        <f>AND(Competitor!C53,"AAAAADj1/WY=")</f>
        <v>#VALUE!</v>
      </c>
      <c r="CZ5" t="e">
        <f>AND(Competitor!D53,"AAAAADj1/Wc=")</f>
        <v>#VALUE!</v>
      </c>
      <c r="DA5" t="e">
        <f>AND(Competitor!E53,"AAAAADj1/Wg=")</f>
        <v>#VALUE!</v>
      </c>
      <c r="DB5" t="e">
        <f>AND(Competitor!F53,"AAAAADj1/Wk=")</f>
        <v>#VALUE!</v>
      </c>
      <c r="DC5" t="b">
        <f>AND(Competitor!G53,"AAAAADj1/Wo=")</f>
        <v>0</v>
      </c>
      <c r="DD5" t="e">
        <f>AND(Competitor!H53,"AAAAADj1/Ws=")</f>
        <v>#VALUE!</v>
      </c>
      <c r="DE5" t="e">
        <f>AND(Competitor!I53,"AAAAADj1/Ww=")</f>
        <v>#VALUE!</v>
      </c>
      <c r="DF5" t="e">
        <f>AND(Competitor!J53,"AAAAADj1/W0=")</f>
        <v>#VALUE!</v>
      </c>
      <c r="DG5" t="e">
        <f>AND(Competitor!K53,"AAAAADj1/W4=")</f>
        <v>#VALUE!</v>
      </c>
      <c r="DH5" t="e">
        <f>AND(Competitor!L53,"AAAAADj1/W8=")</f>
        <v>#VALUE!</v>
      </c>
      <c r="DI5" t="e">
        <f>AND(Competitor!M53,"AAAAADj1/XA=")</f>
        <v>#VALUE!</v>
      </c>
      <c r="DJ5" t="e">
        <f>AND(Competitor!N53,"AAAAADj1/XE=")</f>
        <v>#VALUE!</v>
      </c>
      <c r="DK5" t="e">
        <f>AND(Competitor!O53,"AAAAADj1/XI=")</f>
        <v>#VALUE!</v>
      </c>
      <c r="DL5" t="e">
        <f>AND(Competitor!P53,"AAAAADj1/XM=")</f>
        <v>#VALUE!</v>
      </c>
      <c r="DM5">
        <f>IF(Competitor!54:54,"AAAAADj1/XQ=",0)</f>
        <v>0</v>
      </c>
      <c r="DN5" t="b">
        <f>AND(Competitor!A54,"AAAAADj1/XU=")</f>
        <v>1</v>
      </c>
      <c r="DO5" t="e">
        <f>AND(Competitor!B54,"AAAAADj1/XY=")</f>
        <v>#VALUE!</v>
      </c>
      <c r="DP5" t="e">
        <f>AND(Competitor!C54,"AAAAADj1/Xc=")</f>
        <v>#VALUE!</v>
      </c>
      <c r="DQ5" t="e">
        <f>AND(Competitor!D54,"AAAAADj1/Xg=")</f>
        <v>#VALUE!</v>
      </c>
      <c r="DR5" t="e">
        <f>AND(Competitor!E54,"AAAAADj1/Xk=")</f>
        <v>#VALUE!</v>
      </c>
      <c r="DS5" t="e">
        <f>AND(Competitor!F54,"AAAAADj1/Xo=")</f>
        <v>#VALUE!</v>
      </c>
      <c r="DT5" t="b">
        <f>AND(Competitor!G54,"AAAAADj1/Xs=")</f>
        <v>0</v>
      </c>
      <c r="DU5" t="e">
        <f>AND(Competitor!H54,"AAAAADj1/Xw=")</f>
        <v>#VALUE!</v>
      </c>
      <c r="DV5" t="e">
        <f>AND(Competitor!I54,"AAAAADj1/X0=")</f>
        <v>#VALUE!</v>
      </c>
      <c r="DW5" t="e">
        <f>AND(Competitor!J54,"AAAAADj1/X4=")</f>
        <v>#VALUE!</v>
      </c>
      <c r="DX5" t="e">
        <f>AND(Competitor!K54,"AAAAADj1/X8=")</f>
        <v>#VALUE!</v>
      </c>
      <c r="DY5" t="e">
        <f>AND(Competitor!L54,"AAAAADj1/YA=")</f>
        <v>#VALUE!</v>
      </c>
      <c r="DZ5" t="e">
        <f>AND(Competitor!M54,"AAAAADj1/YE=")</f>
        <v>#VALUE!</v>
      </c>
      <c r="EA5" t="e">
        <f>AND(Competitor!N54,"AAAAADj1/YI=")</f>
        <v>#VALUE!</v>
      </c>
      <c r="EB5" t="e">
        <f>AND(Competitor!O54,"AAAAADj1/YM=")</f>
        <v>#VALUE!</v>
      </c>
      <c r="EC5" t="e">
        <f>AND(Competitor!P54,"AAAAADj1/YQ=")</f>
        <v>#VALUE!</v>
      </c>
      <c r="ED5">
        <f>IF(Competitor!55:55,"AAAAADj1/YU=",0)</f>
        <v>0</v>
      </c>
      <c r="EE5" t="b">
        <f>AND(Competitor!A55,"AAAAADj1/YY=")</f>
        <v>1</v>
      </c>
      <c r="EF5" t="e">
        <f>AND(Competitor!B55,"AAAAADj1/Yc=")</f>
        <v>#VALUE!</v>
      </c>
      <c r="EG5" t="e">
        <f>AND(Competitor!C55,"AAAAADj1/Yg=")</f>
        <v>#VALUE!</v>
      </c>
      <c r="EH5" t="e">
        <f>AND(Competitor!D55,"AAAAADj1/Yk=")</f>
        <v>#VALUE!</v>
      </c>
      <c r="EI5" t="e">
        <f>AND(Competitor!E55,"AAAAADj1/Yo=")</f>
        <v>#VALUE!</v>
      </c>
      <c r="EJ5" t="e">
        <f>AND(Competitor!F55,"AAAAADj1/Ys=")</f>
        <v>#VALUE!</v>
      </c>
      <c r="EK5" t="b">
        <f>AND(Competitor!G55,"AAAAADj1/Yw=")</f>
        <v>0</v>
      </c>
      <c r="EL5" t="e">
        <f>AND(Competitor!H55,"AAAAADj1/Y0=")</f>
        <v>#VALUE!</v>
      </c>
      <c r="EM5" t="e">
        <f>AND(Competitor!I55,"AAAAADj1/Y4=")</f>
        <v>#VALUE!</v>
      </c>
      <c r="EN5" t="e">
        <f>AND(Competitor!J55,"AAAAADj1/Y8=")</f>
        <v>#VALUE!</v>
      </c>
      <c r="EO5" t="e">
        <f>AND(Competitor!K55,"AAAAADj1/ZA=")</f>
        <v>#VALUE!</v>
      </c>
      <c r="EP5" t="e">
        <f>AND(Competitor!L55,"AAAAADj1/ZE=")</f>
        <v>#VALUE!</v>
      </c>
      <c r="EQ5" t="e">
        <f>AND(Competitor!M55,"AAAAADj1/ZI=")</f>
        <v>#VALUE!</v>
      </c>
      <c r="ER5" t="e">
        <f>AND(Competitor!N55,"AAAAADj1/ZM=")</f>
        <v>#VALUE!</v>
      </c>
      <c r="ES5" t="e">
        <f>AND(Competitor!O55,"AAAAADj1/ZQ=")</f>
        <v>#VALUE!</v>
      </c>
      <c r="ET5" t="e">
        <f>AND(Competitor!P55,"AAAAADj1/ZU=")</f>
        <v>#VALUE!</v>
      </c>
      <c r="EU5">
        <f>IF(Competitor!56:56,"AAAAADj1/ZY=",0)</f>
        <v>0</v>
      </c>
      <c r="EV5" t="b">
        <f>AND(Competitor!A56,"AAAAADj1/Zc=")</f>
        <v>1</v>
      </c>
      <c r="EW5" t="e">
        <f>AND(Competitor!B56,"AAAAADj1/Zg=")</f>
        <v>#VALUE!</v>
      </c>
      <c r="EX5" t="e">
        <f>AND(Competitor!C56,"AAAAADj1/Zk=")</f>
        <v>#VALUE!</v>
      </c>
      <c r="EY5" t="e">
        <f>AND(Competitor!D56,"AAAAADj1/Zo=")</f>
        <v>#VALUE!</v>
      </c>
      <c r="EZ5" t="e">
        <f>AND(Competitor!E56,"AAAAADj1/Zs=")</f>
        <v>#VALUE!</v>
      </c>
      <c r="FA5" t="e">
        <f>AND(Competitor!F56,"AAAAADj1/Zw=")</f>
        <v>#VALUE!</v>
      </c>
      <c r="FB5" t="b">
        <f>AND(Competitor!G56,"AAAAADj1/Z0=")</f>
        <v>0</v>
      </c>
      <c r="FC5" t="e">
        <f>AND(Competitor!H56,"AAAAADj1/Z4=")</f>
        <v>#VALUE!</v>
      </c>
      <c r="FD5" t="e">
        <f>AND(Competitor!I56,"AAAAADj1/Z8=")</f>
        <v>#VALUE!</v>
      </c>
      <c r="FE5" t="e">
        <f>AND(Competitor!J56,"AAAAADj1/aA=")</f>
        <v>#VALUE!</v>
      </c>
      <c r="FF5" t="e">
        <f>AND(Competitor!K56,"AAAAADj1/aE=")</f>
        <v>#VALUE!</v>
      </c>
      <c r="FG5" t="e">
        <f>AND(Competitor!L56,"AAAAADj1/aI=")</f>
        <v>#VALUE!</v>
      </c>
      <c r="FH5" t="e">
        <f>AND(Competitor!M56,"AAAAADj1/aM=")</f>
        <v>#VALUE!</v>
      </c>
      <c r="FI5" t="e">
        <f>AND(Competitor!N56,"AAAAADj1/aQ=")</f>
        <v>#VALUE!</v>
      </c>
      <c r="FJ5" t="e">
        <f>AND(Competitor!O56,"AAAAADj1/aU=")</f>
        <v>#VALUE!</v>
      </c>
      <c r="FK5" t="e">
        <f>AND(Competitor!P56,"AAAAADj1/aY=")</f>
        <v>#VALUE!</v>
      </c>
      <c r="FL5">
        <f>IF(Competitor!57:57,"AAAAADj1/ac=",0)</f>
        <v>0</v>
      </c>
      <c r="FM5" t="b">
        <f>AND(Competitor!A57,"AAAAADj1/ag=")</f>
        <v>1</v>
      </c>
      <c r="FN5" t="e">
        <f>AND(Competitor!B57,"AAAAADj1/ak=")</f>
        <v>#VALUE!</v>
      </c>
      <c r="FO5" t="e">
        <f>AND(Competitor!C57,"AAAAADj1/ao=")</f>
        <v>#VALUE!</v>
      </c>
      <c r="FP5" t="e">
        <f>AND(Competitor!D57,"AAAAADj1/as=")</f>
        <v>#VALUE!</v>
      </c>
      <c r="FQ5" t="e">
        <f>AND(Competitor!E57,"AAAAADj1/aw=")</f>
        <v>#VALUE!</v>
      </c>
      <c r="FR5" t="e">
        <f>AND(Competitor!F57,"AAAAADj1/a0=")</f>
        <v>#VALUE!</v>
      </c>
      <c r="FS5" t="b">
        <f>AND(Competitor!G57,"AAAAADj1/a4=")</f>
        <v>0</v>
      </c>
      <c r="FT5" t="e">
        <f>AND(Competitor!H57,"AAAAADj1/a8=")</f>
        <v>#VALUE!</v>
      </c>
      <c r="FU5" t="e">
        <f>AND(Competitor!I57,"AAAAADj1/bA=")</f>
        <v>#VALUE!</v>
      </c>
      <c r="FV5" t="e">
        <f>AND(Competitor!J57,"AAAAADj1/bE=")</f>
        <v>#VALUE!</v>
      </c>
      <c r="FW5" t="e">
        <f>AND(Competitor!K57,"AAAAADj1/bI=")</f>
        <v>#VALUE!</v>
      </c>
      <c r="FX5" t="e">
        <f>AND(Competitor!L57,"AAAAADj1/bM=")</f>
        <v>#VALUE!</v>
      </c>
      <c r="FY5" t="e">
        <f>AND(Competitor!M57,"AAAAADj1/bQ=")</f>
        <v>#VALUE!</v>
      </c>
      <c r="FZ5" t="e">
        <f>AND(Competitor!N57,"AAAAADj1/bU=")</f>
        <v>#VALUE!</v>
      </c>
      <c r="GA5" t="e">
        <f>AND(Competitor!O57,"AAAAADj1/bY=")</f>
        <v>#VALUE!</v>
      </c>
      <c r="GB5" t="e">
        <f>AND(Competitor!P57,"AAAAADj1/bc=")</f>
        <v>#VALUE!</v>
      </c>
      <c r="GC5">
        <f>IF(Competitor!58:58,"AAAAADj1/bg=",0)</f>
        <v>0</v>
      </c>
      <c r="GD5" t="b">
        <f>AND(Competitor!A58,"AAAAADj1/bk=")</f>
        <v>1</v>
      </c>
      <c r="GE5" t="e">
        <f>AND(Competitor!B58,"AAAAADj1/bo=")</f>
        <v>#VALUE!</v>
      </c>
      <c r="GF5" t="e">
        <f>AND(Competitor!C58,"AAAAADj1/bs=")</f>
        <v>#VALUE!</v>
      </c>
      <c r="GG5" t="e">
        <f>AND(Competitor!D58,"AAAAADj1/bw=")</f>
        <v>#VALUE!</v>
      </c>
      <c r="GH5" t="e">
        <f>AND(Competitor!E58,"AAAAADj1/b0=")</f>
        <v>#VALUE!</v>
      </c>
      <c r="GI5" t="e">
        <f>AND(Competitor!F58,"AAAAADj1/b4=")</f>
        <v>#VALUE!</v>
      </c>
      <c r="GJ5" t="b">
        <f>AND(Competitor!G58,"AAAAADj1/b8=")</f>
        <v>0</v>
      </c>
      <c r="GK5" t="e">
        <f>AND(Competitor!H58,"AAAAADj1/cA=")</f>
        <v>#VALUE!</v>
      </c>
      <c r="GL5" t="e">
        <f>AND(Competitor!I58,"AAAAADj1/cE=")</f>
        <v>#VALUE!</v>
      </c>
      <c r="GM5" t="e">
        <f>AND(Competitor!J58,"AAAAADj1/cI=")</f>
        <v>#VALUE!</v>
      </c>
      <c r="GN5" t="e">
        <f>AND(Competitor!K58,"AAAAADj1/cM=")</f>
        <v>#VALUE!</v>
      </c>
      <c r="GO5" t="e">
        <f>AND(Competitor!L58,"AAAAADj1/cQ=")</f>
        <v>#VALUE!</v>
      </c>
      <c r="GP5" t="e">
        <f>AND(Competitor!M58,"AAAAADj1/cU=")</f>
        <v>#VALUE!</v>
      </c>
      <c r="GQ5" t="e">
        <f>AND(Competitor!N58,"AAAAADj1/cY=")</f>
        <v>#VALUE!</v>
      </c>
      <c r="GR5" t="e">
        <f>AND(Competitor!O58,"AAAAADj1/cc=")</f>
        <v>#VALUE!</v>
      </c>
      <c r="GS5" t="e">
        <f>AND(Competitor!P58,"AAAAADj1/cg=")</f>
        <v>#VALUE!</v>
      </c>
      <c r="GT5">
        <f>IF(Competitor!59:59,"AAAAADj1/ck=",0)</f>
        <v>0</v>
      </c>
      <c r="GU5" t="b">
        <f>AND(Competitor!A59,"AAAAADj1/co=")</f>
        <v>1</v>
      </c>
      <c r="GV5" t="e">
        <f>AND(Competitor!B59,"AAAAADj1/cs=")</f>
        <v>#VALUE!</v>
      </c>
      <c r="GW5" t="e">
        <f>AND(Competitor!C59,"AAAAADj1/cw=")</f>
        <v>#VALUE!</v>
      </c>
      <c r="GX5" t="e">
        <f>AND(Competitor!D59,"AAAAADj1/c0=")</f>
        <v>#VALUE!</v>
      </c>
      <c r="GY5" t="e">
        <f>AND(Competitor!E59,"AAAAADj1/c4=")</f>
        <v>#VALUE!</v>
      </c>
      <c r="GZ5" t="e">
        <f>AND(Competitor!F59,"AAAAADj1/c8=")</f>
        <v>#VALUE!</v>
      </c>
      <c r="HA5" t="b">
        <f>AND(Competitor!G59,"AAAAADj1/dA=")</f>
        <v>0</v>
      </c>
      <c r="HB5" t="e">
        <f>AND(Competitor!H59,"AAAAADj1/dE=")</f>
        <v>#VALUE!</v>
      </c>
      <c r="HC5" t="e">
        <f>AND(Competitor!I59,"AAAAADj1/dI=")</f>
        <v>#VALUE!</v>
      </c>
      <c r="HD5" t="e">
        <f>AND(Competitor!J59,"AAAAADj1/dM=")</f>
        <v>#VALUE!</v>
      </c>
      <c r="HE5" t="e">
        <f>AND(Competitor!K59,"AAAAADj1/dQ=")</f>
        <v>#VALUE!</v>
      </c>
      <c r="HF5" t="e">
        <f>AND(Competitor!L59,"AAAAADj1/dU=")</f>
        <v>#VALUE!</v>
      </c>
      <c r="HG5" t="e">
        <f>AND(Competitor!M59,"AAAAADj1/dY=")</f>
        <v>#VALUE!</v>
      </c>
      <c r="HH5" t="e">
        <f>AND(Competitor!N59,"AAAAADj1/dc=")</f>
        <v>#VALUE!</v>
      </c>
      <c r="HI5" t="e">
        <f>AND(Competitor!O59,"AAAAADj1/dg=")</f>
        <v>#VALUE!</v>
      </c>
      <c r="HJ5" t="e">
        <f>AND(Competitor!P59,"AAAAADj1/dk=")</f>
        <v>#VALUE!</v>
      </c>
      <c r="HK5">
        <f>IF(Competitor!60:60,"AAAAADj1/do=",0)</f>
        <v>0</v>
      </c>
      <c r="HL5" t="b">
        <f>AND(Competitor!A60,"AAAAADj1/ds=")</f>
        <v>1</v>
      </c>
      <c r="HM5" t="e">
        <f>AND(Competitor!B60,"AAAAADj1/dw=")</f>
        <v>#VALUE!</v>
      </c>
      <c r="HN5" t="e">
        <f>AND(Competitor!C60,"AAAAADj1/d0=")</f>
        <v>#VALUE!</v>
      </c>
      <c r="HO5" t="e">
        <f>AND(Competitor!D60,"AAAAADj1/d4=")</f>
        <v>#VALUE!</v>
      </c>
      <c r="HP5" t="e">
        <f>AND(Competitor!E60,"AAAAADj1/d8=")</f>
        <v>#VALUE!</v>
      </c>
      <c r="HQ5" t="e">
        <f>AND(Competitor!F60,"AAAAADj1/eA=")</f>
        <v>#VALUE!</v>
      </c>
      <c r="HR5" t="b">
        <f>AND(Competitor!G60,"AAAAADj1/eE=")</f>
        <v>0</v>
      </c>
      <c r="HS5" t="e">
        <f>AND(Competitor!H60,"AAAAADj1/eI=")</f>
        <v>#VALUE!</v>
      </c>
      <c r="HT5" t="e">
        <f>AND(Competitor!I60,"AAAAADj1/eM=")</f>
        <v>#VALUE!</v>
      </c>
      <c r="HU5" t="e">
        <f>AND(Competitor!J60,"AAAAADj1/eQ=")</f>
        <v>#VALUE!</v>
      </c>
      <c r="HV5" t="e">
        <f>AND(Competitor!K60,"AAAAADj1/eU=")</f>
        <v>#VALUE!</v>
      </c>
      <c r="HW5" t="e">
        <f>AND(Competitor!L60,"AAAAADj1/eY=")</f>
        <v>#VALUE!</v>
      </c>
      <c r="HX5" t="e">
        <f>AND(Competitor!M60,"AAAAADj1/ec=")</f>
        <v>#VALUE!</v>
      </c>
      <c r="HY5" t="e">
        <f>AND(Competitor!N60,"AAAAADj1/eg=")</f>
        <v>#VALUE!</v>
      </c>
      <c r="HZ5" t="e">
        <f>AND(Competitor!O60,"AAAAADj1/ek=")</f>
        <v>#VALUE!</v>
      </c>
      <c r="IA5" t="e">
        <f>AND(Competitor!P60,"AAAAADj1/eo=")</f>
        <v>#VALUE!</v>
      </c>
      <c r="IB5">
        <f>IF(Competitor!61:61,"AAAAADj1/es=",0)</f>
        <v>0</v>
      </c>
      <c r="IC5" t="b">
        <f>AND(Competitor!A61,"AAAAADj1/ew=")</f>
        <v>1</v>
      </c>
      <c r="ID5" t="e">
        <f>AND(Competitor!B61,"AAAAADj1/e0=")</f>
        <v>#VALUE!</v>
      </c>
      <c r="IE5" t="e">
        <f>AND(Competitor!C61,"AAAAADj1/e4=")</f>
        <v>#VALUE!</v>
      </c>
      <c r="IF5" t="e">
        <f>AND(Competitor!D61,"AAAAADj1/e8=")</f>
        <v>#VALUE!</v>
      </c>
      <c r="IG5" t="e">
        <f>AND(Competitor!E61,"AAAAADj1/fA=")</f>
        <v>#VALUE!</v>
      </c>
      <c r="IH5" t="e">
        <f>AND(Competitor!F61,"AAAAADj1/fE=")</f>
        <v>#VALUE!</v>
      </c>
      <c r="II5" t="b">
        <f>AND(Competitor!G61,"AAAAADj1/fI=")</f>
        <v>0</v>
      </c>
      <c r="IJ5" t="e">
        <f>AND(Competitor!H61,"AAAAADj1/fM=")</f>
        <v>#VALUE!</v>
      </c>
      <c r="IK5" t="e">
        <f>AND(Competitor!I61,"AAAAADj1/fQ=")</f>
        <v>#VALUE!</v>
      </c>
      <c r="IL5" t="e">
        <f>AND(Competitor!J61,"AAAAADj1/fU=")</f>
        <v>#VALUE!</v>
      </c>
      <c r="IM5" t="e">
        <f>AND(Competitor!K61,"AAAAADj1/fY=")</f>
        <v>#VALUE!</v>
      </c>
      <c r="IN5" t="e">
        <f>AND(Competitor!L61,"AAAAADj1/fc=")</f>
        <v>#VALUE!</v>
      </c>
      <c r="IO5" t="e">
        <f>AND(Competitor!M61,"AAAAADj1/fg=")</f>
        <v>#VALUE!</v>
      </c>
      <c r="IP5" t="e">
        <f>AND(Competitor!N61,"AAAAADj1/fk=")</f>
        <v>#VALUE!</v>
      </c>
      <c r="IQ5" t="e">
        <f>AND(Competitor!O61,"AAAAADj1/fo=")</f>
        <v>#VALUE!</v>
      </c>
      <c r="IR5" t="e">
        <f>AND(Competitor!P61,"AAAAADj1/fs=")</f>
        <v>#VALUE!</v>
      </c>
      <c r="IS5">
        <f>IF(Competitor!62:62,"AAAAADj1/fw=",0)</f>
        <v>0</v>
      </c>
      <c r="IT5" t="b">
        <f>AND(Competitor!A62,"AAAAADj1/f0=")</f>
        <v>1</v>
      </c>
      <c r="IU5" t="e">
        <f>AND(Competitor!B62,"AAAAADj1/f4=")</f>
        <v>#VALUE!</v>
      </c>
      <c r="IV5" t="e">
        <f>AND(Competitor!C62,"AAAAADj1/f8=")</f>
        <v>#VALUE!</v>
      </c>
    </row>
    <row r="6" spans="1:256" x14ac:dyDescent="0.25">
      <c r="A6" t="e">
        <f>AND(Competitor!D62,"AAAAAF3d/gA=")</f>
        <v>#VALUE!</v>
      </c>
      <c r="B6" t="e">
        <f>AND(Competitor!E62,"AAAAAF3d/gE=")</f>
        <v>#VALUE!</v>
      </c>
      <c r="C6" t="e">
        <f>AND(Competitor!F62,"AAAAAF3d/gI=")</f>
        <v>#VALUE!</v>
      </c>
      <c r="D6" t="b">
        <f>AND(Competitor!G62,"AAAAAF3d/gM=")</f>
        <v>0</v>
      </c>
      <c r="E6" t="e">
        <f>AND(Competitor!H62,"AAAAAF3d/gQ=")</f>
        <v>#VALUE!</v>
      </c>
      <c r="F6" t="e">
        <f>AND(Competitor!I62,"AAAAAF3d/gU=")</f>
        <v>#VALUE!</v>
      </c>
      <c r="G6" t="e">
        <f>AND(Competitor!J62,"AAAAAF3d/gY=")</f>
        <v>#VALUE!</v>
      </c>
      <c r="H6" t="e">
        <f>AND(Competitor!K62,"AAAAAF3d/gc=")</f>
        <v>#VALUE!</v>
      </c>
      <c r="I6" t="e">
        <f>AND(Competitor!L62,"AAAAAF3d/gg=")</f>
        <v>#VALUE!</v>
      </c>
      <c r="J6" t="e">
        <f>AND(Competitor!M62,"AAAAAF3d/gk=")</f>
        <v>#VALUE!</v>
      </c>
      <c r="K6" t="e">
        <f>AND(Competitor!N62,"AAAAAF3d/go=")</f>
        <v>#VALUE!</v>
      </c>
      <c r="L6" t="e">
        <f>AND(Competitor!O62,"AAAAAF3d/gs=")</f>
        <v>#VALUE!</v>
      </c>
      <c r="M6" t="e">
        <f>AND(Competitor!P62,"AAAAAF3d/gw=")</f>
        <v>#VALUE!</v>
      </c>
      <c r="N6">
        <f>IF(Competitor!63:63,"AAAAAF3d/g0=",0)</f>
        <v>0</v>
      </c>
      <c r="O6" t="b">
        <f>AND(Competitor!A63,"AAAAAF3d/g4=")</f>
        <v>1</v>
      </c>
      <c r="P6" t="e">
        <f>AND(Competitor!B63,"AAAAAF3d/g8=")</f>
        <v>#VALUE!</v>
      </c>
      <c r="Q6" t="e">
        <f>AND(Competitor!C63,"AAAAAF3d/hA=")</f>
        <v>#VALUE!</v>
      </c>
      <c r="R6" t="e">
        <f>AND(Competitor!D63,"AAAAAF3d/hE=")</f>
        <v>#VALUE!</v>
      </c>
      <c r="S6" t="e">
        <f>AND(Competitor!E63,"AAAAAF3d/hI=")</f>
        <v>#VALUE!</v>
      </c>
      <c r="T6" t="e">
        <f>AND(Competitor!F63,"AAAAAF3d/hM=")</f>
        <v>#VALUE!</v>
      </c>
      <c r="U6" t="b">
        <f>AND(Competitor!G63,"AAAAAF3d/hQ=")</f>
        <v>0</v>
      </c>
      <c r="V6" t="e">
        <f>AND(Competitor!H63,"AAAAAF3d/hU=")</f>
        <v>#VALUE!</v>
      </c>
      <c r="W6" t="e">
        <f>AND(Competitor!I63,"AAAAAF3d/hY=")</f>
        <v>#VALUE!</v>
      </c>
      <c r="X6" t="e">
        <f>AND(Competitor!J63,"AAAAAF3d/hc=")</f>
        <v>#VALUE!</v>
      </c>
      <c r="Y6" t="e">
        <f>AND(Competitor!K63,"AAAAAF3d/hg=")</f>
        <v>#VALUE!</v>
      </c>
      <c r="Z6" t="e">
        <f>AND(Competitor!L63,"AAAAAF3d/hk=")</f>
        <v>#VALUE!</v>
      </c>
      <c r="AA6" t="e">
        <f>AND(Competitor!M63,"AAAAAF3d/ho=")</f>
        <v>#VALUE!</v>
      </c>
      <c r="AB6" t="e">
        <f>AND(Competitor!N63,"AAAAAF3d/hs=")</f>
        <v>#VALUE!</v>
      </c>
      <c r="AC6" t="e">
        <f>AND(Competitor!O63,"AAAAAF3d/hw=")</f>
        <v>#VALUE!</v>
      </c>
      <c r="AD6" t="e">
        <f>AND(Competitor!P63,"AAAAAF3d/h0=")</f>
        <v>#VALUE!</v>
      </c>
      <c r="AE6">
        <f>IF(Competitor!64:64,"AAAAAF3d/h4=",0)</f>
        <v>0</v>
      </c>
      <c r="AF6" t="b">
        <f>AND(Competitor!A64,"AAAAAF3d/h8=")</f>
        <v>1</v>
      </c>
      <c r="AG6" t="e">
        <f>AND(Competitor!B64,"AAAAAF3d/iA=")</f>
        <v>#VALUE!</v>
      </c>
      <c r="AH6" t="e">
        <f>AND(Competitor!C64,"AAAAAF3d/iE=")</f>
        <v>#VALUE!</v>
      </c>
      <c r="AI6" t="e">
        <f>AND(Competitor!D64,"AAAAAF3d/iI=")</f>
        <v>#VALUE!</v>
      </c>
      <c r="AJ6" t="e">
        <f>AND(Competitor!E64,"AAAAAF3d/iM=")</f>
        <v>#VALUE!</v>
      </c>
      <c r="AK6" t="e">
        <f>AND(Competitor!F64,"AAAAAF3d/iQ=")</f>
        <v>#VALUE!</v>
      </c>
      <c r="AL6" t="b">
        <f>AND(Competitor!G64,"AAAAAF3d/iU=")</f>
        <v>0</v>
      </c>
      <c r="AM6" t="e">
        <f>AND(Competitor!H64,"AAAAAF3d/iY=")</f>
        <v>#VALUE!</v>
      </c>
      <c r="AN6" t="e">
        <f>AND(Competitor!I64,"AAAAAF3d/ic=")</f>
        <v>#VALUE!</v>
      </c>
      <c r="AO6" t="e">
        <f>AND(Competitor!J64,"AAAAAF3d/ig=")</f>
        <v>#VALUE!</v>
      </c>
      <c r="AP6" t="e">
        <f>AND(Competitor!K64,"AAAAAF3d/ik=")</f>
        <v>#VALUE!</v>
      </c>
      <c r="AQ6" t="e">
        <f>AND(Competitor!L64,"AAAAAF3d/io=")</f>
        <v>#VALUE!</v>
      </c>
      <c r="AR6" t="e">
        <f>AND(Competitor!M64,"AAAAAF3d/is=")</f>
        <v>#VALUE!</v>
      </c>
      <c r="AS6" t="e">
        <f>AND(Competitor!N64,"AAAAAF3d/iw=")</f>
        <v>#VALUE!</v>
      </c>
      <c r="AT6" t="e">
        <f>AND(Competitor!O64,"AAAAAF3d/i0=")</f>
        <v>#VALUE!</v>
      </c>
      <c r="AU6" t="e">
        <f>AND(Competitor!P64,"AAAAAF3d/i4=")</f>
        <v>#VALUE!</v>
      </c>
      <c r="AV6">
        <f>IF(Competitor!65:65,"AAAAAF3d/i8=",0)</f>
        <v>0</v>
      </c>
      <c r="AW6" t="b">
        <f>AND(Competitor!A65,"AAAAAF3d/jA=")</f>
        <v>1</v>
      </c>
      <c r="AX6" t="e">
        <f>AND(Competitor!B65,"AAAAAF3d/jE=")</f>
        <v>#VALUE!</v>
      </c>
      <c r="AY6" t="e">
        <f>AND(Competitor!C65,"AAAAAF3d/jI=")</f>
        <v>#VALUE!</v>
      </c>
      <c r="AZ6" t="e">
        <f>AND(Competitor!D65,"AAAAAF3d/jM=")</f>
        <v>#VALUE!</v>
      </c>
      <c r="BA6" t="e">
        <f>AND(Competitor!E65,"AAAAAF3d/jQ=")</f>
        <v>#VALUE!</v>
      </c>
      <c r="BB6" t="e">
        <f>AND(Competitor!F65,"AAAAAF3d/jU=")</f>
        <v>#VALUE!</v>
      </c>
      <c r="BC6" t="b">
        <f>AND(Competitor!G65,"AAAAAF3d/jY=")</f>
        <v>0</v>
      </c>
      <c r="BD6" t="e">
        <f>AND(Competitor!H65,"AAAAAF3d/jc=")</f>
        <v>#VALUE!</v>
      </c>
      <c r="BE6" t="e">
        <f>AND(Competitor!I65,"AAAAAF3d/jg=")</f>
        <v>#VALUE!</v>
      </c>
      <c r="BF6" t="e">
        <f>AND(Competitor!J65,"AAAAAF3d/jk=")</f>
        <v>#VALUE!</v>
      </c>
      <c r="BG6" t="e">
        <f>AND(Competitor!K65,"AAAAAF3d/jo=")</f>
        <v>#VALUE!</v>
      </c>
      <c r="BH6" t="e">
        <f>AND(Competitor!L65,"AAAAAF3d/js=")</f>
        <v>#VALUE!</v>
      </c>
      <c r="BI6" t="e">
        <f>AND(Competitor!M65,"AAAAAF3d/jw=")</f>
        <v>#VALUE!</v>
      </c>
      <c r="BJ6" t="e">
        <f>AND(Competitor!N65,"AAAAAF3d/j0=")</f>
        <v>#VALUE!</v>
      </c>
      <c r="BK6" t="e">
        <f>AND(Competitor!O65,"AAAAAF3d/j4=")</f>
        <v>#VALUE!</v>
      </c>
      <c r="BL6" t="e">
        <f>AND(Competitor!P65,"AAAAAF3d/j8=")</f>
        <v>#VALUE!</v>
      </c>
      <c r="BM6">
        <f>IF(Competitor!66:66,"AAAAAF3d/kA=",0)</f>
        <v>0</v>
      </c>
      <c r="BN6" t="b">
        <f>AND(Competitor!A66,"AAAAAF3d/kE=")</f>
        <v>1</v>
      </c>
      <c r="BO6" t="e">
        <f>AND(Competitor!B66,"AAAAAF3d/kI=")</f>
        <v>#VALUE!</v>
      </c>
      <c r="BP6" t="e">
        <f>AND(Competitor!C66,"AAAAAF3d/kM=")</f>
        <v>#VALUE!</v>
      </c>
      <c r="BQ6" t="e">
        <f>AND(Competitor!D66,"AAAAAF3d/kQ=")</f>
        <v>#VALUE!</v>
      </c>
      <c r="BR6" t="e">
        <f>AND(Competitor!E66,"AAAAAF3d/kU=")</f>
        <v>#VALUE!</v>
      </c>
      <c r="BS6" t="e">
        <f>AND(Competitor!F66,"AAAAAF3d/kY=")</f>
        <v>#VALUE!</v>
      </c>
      <c r="BT6" t="b">
        <f>AND(Competitor!G66,"AAAAAF3d/kc=")</f>
        <v>0</v>
      </c>
      <c r="BU6" t="e">
        <f>AND(Competitor!H66,"AAAAAF3d/kg=")</f>
        <v>#VALUE!</v>
      </c>
      <c r="BV6" t="e">
        <f>AND(Competitor!I66,"AAAAAF3d/kk=")</f>
        <v>#VALUE!</v>
      </c>
      <c r="BW6" t="e">
        <f>AND(Competitor!J66,"AAAAAF3d/ko=")</f>
        <v>#VALUE!</v>
      </c>
      <c r="BX6" t="e">
        <f>AND(Competitor!K66,"AAAAAF3d/ks=")</f>
        <v>#VALUE!</v>
      </c>
      <c r="BY6" t="e">
        <f>AND(Competitor!L66,"AAAAAF3d/kw=")</f>
        <v>#VALUE!</v>
      </c>
      <c r="BZ6" t="e">
        <f>AND(Competitor!M66,"AAAAAF3d/k0=")</f>
        <v>#VALUE!</v>
      </c>
      <c r="CA6" t="e">
        <f>AND(Competitor!N66,"AAAAAF3d/k4=")</f>
        <v>#VALUE!</v>
      </c>
      <c r="CB6" t="e">
        <f>AND(Competitor!O66,"AAAAAF3d/k8=")</f>
        <v>#VALUE!</v>
      </c>
      <c r="CC6" t="e">
        <f>AND(Competitor!P66,"AAAAAF3d/lA=")</f>
        <v>#VALUE!</v>
      </c>
      <c r="CD6">
        <f>IF(Competitor!67:67,"AAAAAF3d/lE=",0)</f>
        <v>0</v>
      </c>
      <c r="CE6" t="b">
        <f>AND(Competitor!A67,"AAAAAF3d/lI=")</f>
        <v>1</v>
      </c>
      <c r="CF6" t="e">
        <f>AND(Competitor!B67,"AAAAAF3d/lM=")</f>
        <v>#VALUE!</v>
      </c>
      <c r="CG6" t="e">
        <f>AND(Competitor!C67,"AAAAAF3d/lQ=")</f>
        <v>#VALUE!</v>
      </c>
      <c r="CH6" t="e">
        <f>AND(Competitor!D67,"AAAAAF3d/lU=")</f>
        <v>#VALUE!</v>
      </c>
      <c r="CI6" t="e">
        <f>AND(Competitor!E67,"AAAAAF3d/lY=")</f>
        <v>#VALUE!</v>
      </c>
      <c r="CJ6" t="e">
        <f>AND(Competitor!F67,"AAAAAF3d/lc=")</f>
        <v>#VALUE!</v>
      </c>
      <c r="CK6" t="b">
        <f>AND(Competitor!G67,"AAAAAF3d/lg=")</f>
        <v>0</v>
      </c>
      <c r="CL6" t="e">
        <f>AND(Competitor!H67,"AAAAAF3d/lk=")</f>
        <v>#VALUE!</v>
      </c>
      <c r="CM6" t="e">
        <f>AND(Competitor!I67,"AAAAAF3d/lo=")</f>
        <v>#VALUE!</v>
      </c>
      <c r="CN6" t="e">
        <f>AND(Competitor!J67,"AAAAAF3d/ls=")</f>
        <v>#VALUE!</v>
      </c>
      <c r="CO6" t="e">
        <f>AND(Competitor!K67,"AAAAAF3d/lw=")</f>
        <v>#VALUE!</v>
      </c>
      <c r="CP6" t="e">
        <f>AND(Competitor!L67,"AAAAAF3d/l0=")</f>
        <v>#VALUE!</v>
      </c>
      <c r="CQ6" t="e">
        <f>AND(Competitor!M67,"AAAAAF3d/l4=")</f>
        <v>#VALUE!</v>
      </c>
      <c r="CR6" t="e">
        <f>AND(Competitor!N67,"AAAAAF3d/l8=")</f>
        <v>#VALUE!</v>
      </c>
      <c r="CS6" t="e">
        <f>AND(Competitor!O67,"AAAAAF3d/mA=")</f>
        <v>#VALUE!</v>
      </c>
      <c r="CT6" t="e">
        <f>AND(Competitor!P67,"AAAAAF3d/mE=")</f>
        <v>#VALUE!</v>
      </c>
      <c r="CU6">
        <f>IF(Competitor!68:68,"AAAAAF3d/mI=",0)</f>
        <v>0</v>
      </c>
      <c r="CV6" t="b">
        <f>AND(Competitor!A68,"AAAAAF3d/mM=")</f>
        <v>1</v>
      </c>
      <c r="CW6" t="e">
        <f>AND(Competitor!B68,"AAAAAF3d/mQ=")</f>
        <v>#VALUE!</v>
      </c>
      <c r="CX6" t="e">
        <f>AND(Competitor!C68,"AAAAAF3d/mU=")</f>
        <v>#VALUE!</v>
      </c>
      <c r="CY6" t="e">
        <f>AND(Competitor!D68,"AAAAAF3d/mY=")</f>
        <v>#VALUE!</v>
      </c>
      <c r="CZ6" t="e">
        <f>AND(Competitor!E68,"AAAAAF3d/mc=")</f>
        <v>#VALUE!</v>
      </c>
      <c r="DA6" t="e">
        <f>AND(Competitor!F68,"AAAAAF3d/mg=")</f>
        <v>#VALUE!</v>
      </c>
      <c r="DB6" t="b">
        <f>AND(Competitor!G68,"AAAAAF3d/mk=")</f>
        <v>0</v>
      </c>
      <c r="DC6" t="e">
        <f>AND(Competitor!H68,"AAAAAF3d/mo=")</f>
        <v>#VALUE!</v>
      </c>
      <c r="DD6" t="e">
        <f>AND(Competitor!I68,"AAAAAF3d/ms=")</f>
        <v>#VALUE!</v>
      </c>
      <c r="DE6" t="e">
        <f>AND(Competitor!J68,"AAAAAF3d/mw=")</f>
        <v>#VALUE!</v>
      </c>
      <c r="DF6" t="e">
        <f>AND(Competitor!K68,"AAAAAF3d/m0=")</f>
        <v>#VALUE!</v>
      </c>
      <c r="DG6" t="e">
        <f>AND(Competitor!L68,"AAAAAF3d/m4=")</f>
        <v>#VALUE!</v>
      </c>
      <c r="DH6" t="e">
        <f>AND(Competitor!M68,"AAAAAF3d/m8=")</f>
        <v>#VALUE!</v>
      </c>
      <c r="DI6" t="e">
        <f>AND(Competitor!N68,"AAAAAF3d/nA=")</f>
        <v>#VALUE!</v>
      </c>
      <c r="DJ6" t="e">
        <f>AND(Competitor!O68,"AAAAAF3d/nE=")</f>
        <v>#VALUE!</v>
      </c>
      <c r="DK6" t="e">
        <f>AND(Competitor!P68,"AAAAAF3d/nI=")</f>
        <v>#VALUE!</v>
      </c>
      <c r="DL6">
        <f>IF(Competitor!69:69,"AAAAAF3d/nM=",0)</f>
        <v>0</v>
      </c>
      <c r="DM6" t="b">
        <f>AND(Competitor!A69,"AAAAAF3d/nQ=")</f>
        <v>1</v>
      </c>
      <c r="DN6" t="e">
        <f>AND(Competitor!B69,"AAAAAF3d/nU=")</f>
        <v>#VALUE!</v>
      </c>
      <c r="DO6" t="e">
        <f>AND(Competitor!C69,"AAAAAF3d/nY=")</f>
        <v>#VALUE!</v>
      </c>
      <c r="DP6" t="e">
        <f>AND(Competitor!D69,"AAAAAF3d/nc=")</f>
        <v>#VALUE!</v>
      </c>
      <c r="DQ6" t="e">
        <f>AND(Competitor!E69,"AAAAAF3d/ng=")</f>
        <v>#VALUE!</v>
      </c>
      <c r="DR6" t="e">
        <f>AND(Competitor!F69,"AAAAAF3d/nk=")</f>
        <v>#VALUE!</v>
      </c>
      <c r="DS6" t="b">
        <f>AND(Competitor!G69,"AAAAAF3d/no=")</f>
        <v>0</v>
      </c>
      <c r="DT6" t="e">
        <f>AND(Competitor!H69,"AAAAAF3d/ns=")</f>
        <v>#VALUE!</v>
      </c>
      <c r="DU6" t="e">
        <f>AND(Competitor!I69,"AAAAAF3d/nw=")</f>
        <v>#VALUE!</v>
      </c>
      <c r="DV6" t="e">
        <f>AND(Competitor!J69,"AAAAAF3d/n0=")</f>
        <v>#VALUE!</v>
      </c>
      <c r="DW6" t="e">
        <f>AND(Competitor!K69,"AAAAAF3d/n4=")</f>
        <v>#VALUE!</v>
      </c>
      <c r="DX6" t="e">
        <f>AND(Competitor!L69,"AAAAAF3d/n8=")</f>
        <v>#VALUE!</v>
      </c>
      <c r="DY6" t="e">
        <f>AND(Competitor!M69,"AAAAAF3d/oA=")</f>
        <v>#VALUE!</v>
      </c>
      <c r="DZ6" t="e">
        <f>AND(Competitor!N69,"AAAAAF3d/oE=")</f>
        <v>#VALUE!</v>
      </c>
      <c r="EA6" t="e">
        <f>AND(Competitor!O69,"AAAAAF3d/oI=")</f>
        <v>#VALUE!</v>
      </c>
      <c r="EB6" t="e">
        <f>AND(Competitor!P69,"AAAAAF3d/oM=")</f>
        <v>#VALUE!</v>
      </c>
      <c r="EC6">
        <f>IF(Competitor!70:70,"AAAAAF3d/oQ=",0)</f>
        <v>0</v>
      </c>
      <c r="ED6" t="b">
        <f>AND(Competitor!A70,"AAAAAF3d/oU=")</f>
        <v>1</v>
      </c>
      <c r="EE6" t="e">
        <f>AND(Competitor!B70,"AAAAAF3d/oY=")</f>
        <v>#VALUE!</v>
      </c>
      <c r="EF6" t="e">
        <f>AND(Competitor!C70,"AAAAAF3d/oc=")</f>
        <v>#VALUE!</v>
      </c>
      <c r="EG6" t="e">
        <f>AND(Competitor!D70,"AAAAAF3d/og=")</f>
        <v>#VALUE!</v>
      </c>
      <c r="EH6" t="e">
        <f>AND(Competitor!E70,"AAAAAF3d/ok=")</f>
        <v>#VALUE!</v>
      </c>
      <c r="EI6" t="e">
        <f>AND(Competitor!F70,"AAAAAF3d/oo=")</f>
        <v>#VALUE!</v>
      </c>
      <c r="EJ6" t="b">
        <f>AND(Competitor!G70,"AAAAAF3d/os=")</f>
        <v>0</v>
      </c>
      <c r="EK6" t="e">
        <f>AND(Competitor!H70,"AAAAAF3d/ow=")</f>
        <v>#VALUE!</v>
      </c>
      <c r="EL6" t="e">
        <f>AND(Competitor!I70,"AAAAAF3d/o0=")</f>
        <v>#VALUE!</v>
      </c>
      <c r="EM6" t="e">
        <f>AND(Competitor!J70,"AAAAAF3d/o4=")</f>
        <v>#VALUE!</v>
      </c>
      <c r="EN6" t="e">
        <f>AND(Competitor!K70,"AAAAAF3d/o8=")</f>
        <v>#VALUE!</v>
      </c>
      <c r="EO6" t="e">
        <f>AND(Competitor!L70,"AAAAAF3d/pA=")</f>
        <v>#VALUE!</v>
      </c>
      <c r="EP6" t="e">
        <f>AND(Competitor!M70,"AAAAAF3d/pE=")</f>
        <v>#VALUE!</v>
      </c>
      <c r="EQ6" t="e">
        <f>AND(Competitor!N70,"AAAAAF3d/pI=")</f>
        <v>#VALUE!</v>
      </c>
      <c r="ER6" t="e">
        <f>AND(Competitor!O70,"AAAAAF3d/pM=")</f>
        <v>#VALUE!</v>
      </c>
      <c r="ES6" t="e">
        <f>AND(Competitor!P70,"AAAAAF3d/pQ=")</f>
        <v>#VALUE!</v>
      </c>
      <c r="ET6">
        <f>IF(Competitor!71:71,"AAAAAF3d/pU=",0)</f>
        <v>0</v>
      </c>
      <c r="EU6" t="b">
        <f>AND(Competitor!A71,"AAAAAF3d/pY=")</f>
        <v>1</v>
      </c>
      <c r="EV6" t="e">
        <f>AND(Competitor!B71,"AAAAAF3d/pc=")</f>
        <v>#VALUE!</v>
      </c>
      <c r="EW6" t="e">
        <f>AND(Competitor!C71,"AAAAAF3d/pg=")</f>
        <v>#VALUE!</v>
      </c>
      <c r="EX6" t="e">
        <f>AND(Competitor!D71,"AAAAAF3d/pk=")</f>
        <v>#VALUE!</v>
      </c>
      <c r="EY6" t="e">
        <f>AND(Competitor!E71,"AAAAAF3d/po=")</f>
        <v>#VALUE!</v>
      </c>
      <c r="EZ6" t="e">
        <f>AND(Competitor!F71,"AAAAAF3d/ps=")</f>
        <v>#VALUE!</v>
      </c>
      <c r="FA6" t="b">
        <f>AND(Competitor!G71,"AAAAAF3d/pw=")</f>
        <v>0</v>
      </c>
      <c r="FB6" t="e">
        <f>AND(Competitor!H71,"AAAAAF3d/p0=")</f>
        <v>#VALUE!</v>
      </c>
      <c r="FC6" t="e">
        <f>AND(Competitor!I71,"AAAAAF3d/p4=")</f>
        <v>#VALUE!</v>
      </c>
      <c r="FD6" t="e">
        <f>AND(Competitor!J71,"AAAAAF3d/p8=")</f>
        <v>#VALUE!</v>
      </c>
      <c r="FE6" t="e">
        <f>AND(Competitor!K71,"AAAAAF3d/qA=")</f>
        <v>#VALUE!</v>
      </c>
      <c r="FF6" t="e">
        <f>AND(Competitor!L71,"AAAAAF3d/qE=")</f>
        <v>#VALUE!</v>
      </c>
      <c r="FG6" t="e">
        <f>AND(Competitor!M71,"AAAAAF3d/qI=")</f>
        <v>#VALUE!</v>
      </c>
      <c r="FH6" t="e">
        <f>AND(Competitor!N71,"AAAAAF3d/qM=")</f>
        <v>#VALUE!</v>
      </c>
      <c r="FI6" t="e">
        <f>AND(Competitor!O71,"AAAAAF3d/qQ=")</f>
        <v>#VALUE!</v>
      </c>
      <c r="FJ6" t="e">
        <f>AND(Competitor!P71,"AAAAAF3d/qU=")</f>
        <v>#VALUE!</v>
      </c>
      <c r="FK6">
        <f>IF(Competitor!72:72,"AAAAAF3d/qY=",0)</f>
        <v>0</v>
      </c>
      <c r="FL6" t="b">
        <f>AND(Competitor!A72,"AAAAAF3d/qc=")</f>
        <v>1</v>
      </c>
      <c r="FM6" t="e">
        <f>AND(Competitor!B72,"AAAAAF3d/qg=")</f>
        <v>#VALUE!</v>
      </c>
      <c r="FN6" t="e">
        <f>AND(Competitor!C72,"AAAAAF3d/qk=")</f>
        <v>#VALUE!</v>
      </c>
      <c r="FO6" t="e">
        <f>AND(Competitor!D72,"AAAAAF3d/qo=")</f>
        <v>#VALUE!</v>
      </c>
      <c r="FP6" t="e">
        <f>AND(Competitor!E72,"AAAAAF3d/qs=")</f>
        <v>#VALUE!</v>
      </c>
      <c r="FQ6" t="e">
        <f>AND(Competitor!F72,"AAAAAF3d/qw=")</f>
        <v>#VALUE!</v>
      </c>
      <c r="FR6" t="b">
        <f>AND(Competitor!G72,"AAAAAF3d/q0=")</f>
        <v>0</v>
      </c>
      <c r="FS6" t="e">
        <f>AND(Competitor!H72,"AAAAAF3d/q4=")</f>
        <v>#VALUE!</v>
      </c>
      <c r="FT6" t="e">
        <f>AND(Competitor!I72,"AAAAAF3d/q8=")</f>
        <v>#VALUE!</v>
      </c>
      <c r="FU6" t="e">
        <f>AND(Competitor!J72,"AAAAAF3d/rA=")</f>
        <v>#VALUE!</v>
      </c>
      <c r="FV6" t="e">
        <f>AND(Competitor!K72,"AAAAAF3d/rE=")</f>
        <v>#VALUE!</v>
      </c>
      <c r="FW6" t="e">
        <f>AND(Competitor!L72,"AAAAAF3d/rI=")</f>
        <v>#VALUE!</v>
      </c>
      <c r="FX6" t="e">
        <f>AND(Competitor!M72,"AAAAAF3d/rM=")</f>
        <v>#VALUE!</v>
      </c>
      <c r="FY6" t="e">
        <f>AND(Competitor!N72,"AAAAAF3d/rQ=")</f>
        <v>#VALUE!</v>
      </c>
      <c r="FZ6" t="e">
        <f>AND(Competitor!O72,"AAAAAF3d/rU=")</f>
        <v>#VALUE!</v>
      </c>
      <c r="GA6" t="e">
        <f>AND(Competitor!P72,"AAAAAF3d/rY=")</f>
        <v>#VALUE!</v>
      </c>
      <c r="GB6">
        <f>IF(Competitor!73:73,"AAAAAF3d/rc=",0)</f>
        <v>0</v>
      </c>
      <c r="GC6" t="b">
        <f>AND(Competitor!A73,"AAAAAF3d/rg=")</f>
        <v>1</v>
      </c>
      <c r="GD6" t="e">
        <f>AND(Competitor!B73,"AAAAAF3d/rk=")</f>
        <v>#VALUE!</v>
      </c>
      <c r="GE6" t="e">
        <f>AND(Competitor!C73,"AAAAAF3d/ro=")</f>
        <v>#VALUE!</v>
      </c>
      <c r="GF6" t="e">
        <f>AND(Competitor!D73,"AAAAAF3d/rs=")</f>
        <v>#VALUE!</v>
      </c>
      <c r="GG6" t="e">
        <f>AND(Competitor!E73,"AAAAAF3d/rw=")</f>
        <v>#VALUE!</v>
      </c>
      <c r="GH6" t="e">
        <f>AND(Competitor!F73,"AAAAAF3d/r0=")</f>
        <v>#VALUE!</v>
      </c>
      <c r="GI6" t="b">
        <f>AND(Competitor!G73,"AAAAAF3d/r4=")</f>
        <v>0</v>
      </c>
      <c r="GJ6" t="e">
        <f>AND(Competitor!H73,"AAAAAF3d/r8=")</f>
        <v>#VALUE!</v>
      </c>
      <c r="GK6" t="e">
        <f>AND(Competitor!I73,"AAAAAF3d/sA=")</f>
        <v>#VALUE!</v>
      </c>
      <c r="GL6" t="e">
        <f>AND(Competitor!J73,"AAAAAF3d/sE=")</f>
        <v>#VALUE!</v>
      </c>
      <c r="GM6" t="e">
        <f>AND(Competitor!K73,"AAAAAF3d/sI=")</f>
        <v>#VALUE!</v>
      </c>
      <c r="GN6" t="e">
        <f>AND(Competitor!L73,"AAAAAF3d/sM=")</f>
        <v>#VALUE!</v>
      </c>
      <c r="GO6" t="e">
        <f>AND(Competitor!M73,"AAAAAF3d/sQ=")</f>
        <v>#VALUE!</v>
      </c>
      <c r="GP6" t="e">
        <f>AND(Competitor!N73,"AAAAAF3d/sU=")</f>
        <v>#VALUE!</v>
      </c>
      <c r="GQ6" t="e">
        <f>AND(Competitor!O73,"AAAAAF3d/sY=")</f>
        <v>#VALUE!</v>
      </c>
      <c r="GR6" t="e">
        <f>AND(Competitor!P73,"AAAAAF3d/sc=")</f>
        <v>#VALUE!</v>
      </c>
      <c r="GS6">
        <f>IF(Competitor!74:74,"AAAAAF3d/sg=",0)</f>
        <v>0</v>
      </c>
      <c r="GT6" t="b">
        <f>AND(Competitor!A74,"AAAAAF3d/sk=")</f>
        <v>1</v>
      </c>
      <c r="GU6" t="e">
        <f>AND(Competitor!B74,"AAAAAF3d/so=")</f>
        <v>#VALUE!</v>
      </c>
      <c r="GV6" t="e">
        <f>AND(Competitor!C74,"AAAAAF3d/ss=")</f>
        <v>#VALUE!</v>
      </c>
      <c r="GW6" t="e">
        <f>AND(Competitor!D74,"AAAAAF3d/sw=")</f>
        <v>#VALUE!</v>
      </c>
      <c r="GX6" t="e">
        <f>AND(Competitor!E74,"AAAAAF3d/s0=")</f>
        <v>#VALUE!</v>
      </c>
      <c r="GY6" t="e">
        <f>AND(Competitor!F74,"AAAAAF3d/s4=")</f>
        <v>#VALUE!</v>
      </c>
      <c r="GZ6" t="b">
        <f>AND(Competitor!G74,"AAAAAF3d/s8=")</f>
        <v>0</v>
      </c>
      <c r="HA6" t="e">
        <f>AND(Competitor!H74,"AAAAAF3d/tA=")</f>
        <v>#VALUE!</v>
      </c>
      <c r="HB6" t="e">
        <f>AND(Competitor!I74,"AAAAAF3d/tE=")</f>
        <v>#VALUE!</v>
      </c>
      <c r="HC6" t="e">
        <f>AND(Competitor!J74,"AAAAAF3d/tI=")</f>
        <v>#VALUE!</v>
      </c>
      <c r="HD6" t="e">
        <f>AND(Competitor!K74,"AAAAAF3d/tM=")</f>
        <v>#VALUE!</v>
      </c>
      <c r="HE6" t="e">
        <f>AND(Competitor!L74,"AAAAAF3d/tQ=")</f>
        <v>#VALUE!</v>
      </c>
      <c r="HF6" t="e">
        <f>AND(Competitor!M74,"AAAAAF3d/tU=")</f>
        <v>#VALUE!</v>
      </c>
      <c r="HG6" t="e">
        <f>AND(Competitor!N74,"AAAAAF3d/tY=")</f>
        <v>#VALUE!</v>
      </c>
      <c r="HH6" t="e">
        <f>AND(Competitor!O74,"AAAAAF3d/tc=")</f>
        <v>#VALUE!</v>
      </c>
      <c r="HI6" t="e">
        <f>AND(Competitor!P74,"AAAAAF3d/tg=")</f>
        <v>#VALUE!</v>
      </c>
      <c r="HJ6">
        <f>IF(Competitor!75:75,"AAAAAF3d/tk=",0)</f>
        <v>0</v>
      </c>
      <c r="HK6" t="b">
        <f>AND(Competitor!A75,"AAAAAF3d/to=")</f>
        <v>1</v>
      </c>
      <c r="HL6" t="e">
        <f>AND(Competitor!B75,"AAAAAF3d/ts=")</f>
        <v>#VALUE!</v>
      </c>
      <c r="HM6" t="e">
        <f>AND(Competitor!C75,"AAAAAF3d/tw=")</f>
        <v>#VALUE!</v>
      </c>
      <c r="HN6" t="e">
        <f>AND(Competitor!D75,"AAAAAF3d/t0=")</f>
        <v>#VALUE!</v>
      </c>
      <c r="HO6" t="e">
        <f>AND(Competitor!E75,"AAAAAF3d/t4=")</f>
        <v>#VALUE!</v>
      </c>
      <c r="HP6" t="e">
        <f>AND(Competitor!F75,"AAAAAF3d/t8=")</f>
        <v>#VALUE!</v>
      </c>
      <c r="HQ6" t="b">
        <f>AND(Competitor!G75,"AAAAAF3d/uA=")</f>
        <v>0</v>
      </c>
      <c r="HR6" t="e">
        <f>AND(Competitor!H75,"AAAAAF3d/uE=")</f>
        <v>#VALUE!</v>
      </c>
      <c r="HS6" t="e">
        <f>AND(Competitor!I75,"AAAAAF3d/uI=")</f>
        <v>#VALUE!</v>
      </c>
      <c r="HT6" t="e">
        <f>AND(Competitor!J75,"AAAAAF3d/uM=")</f>
        <v>#VALUE!</v>
      </c>
      <c r="HU6" t="e">
        <f>AND(Competitor!K75,"AAAAAF3d/uQ=")</f>
        <v>#VALUE!</v>
      </c>
      <c r="HV6" t="e">
        <f>AND(Competitor!L75,"AAAAAF3d/uU=")</f>
        <v>#VALUE!</v>
      </c>
      <c r="HW6" t="e">
        <f>AND(Competitor!M75,"AAAAAF3d/uY=")</f>
        <v>#VALUE!</v>
      </c>
      <c r="HX6" t="e">
        <f>AND(Competitor!N75,"AAAAAF3d/uc=")</f>
        <v>#VALUE!</v>
      </c>
      <c r="HY6" t="e">
        <f>AND(Competitor!O75,"AAAAAF3d/ug=")</f>
        <v>#VALUE!</v>
      </c>
      <c r="HZ6" t="e">
        <f>AND(Competitor!P75,"AAAAAF3d/uk=")</f>
        <v>#VALUE!</v>
      </c>
      <c r="IA6">
        <f>IF(Competitor!76:76,"AAAAAF3d/uo=",0)</f>
        <v>0</v>
      </c>
      <c r="IB6" t="b">
        <f>AND(Competitor!A76,"AAAAAF3d/us=")</f>
        <v>1</v>
      </c>
      <c r="IC6" t="e">
        <f>AND(Competitor!B76,"AAAAAF3d/uw=")</f>
        <v>#VALUE!</v>
      </c>
      <c r="ID6" t="e">
        <f>AND(Competitor!C76,"AAAAAF3d/u0=")</f>
        <v>#VALUE!</v>
      </c>
      <c r="IE6" t="e">
        <f>AND(Competitor!D76,"AAAAAF3d/u4=")</f>
        <v>#VALUE!</v>
      </c>
      <c r="IF6" t="e">
        <f>AND(Competitor!E76,"AAAAAF3d/u8=")</f>
        <v>#VALUE!</v>
      </c>
      <c r="IG6" t="e">
        <f>AND(Competitor!F76,"AAAAAF3d/vA=")</f>
        <v>#VALUE!</v>
      </c>
      <c r="IH6" t="b">
        <f>AND(Competitor!G76,"AAAAAF3d/vE=")</f>
        <v>0</v>
      </c>
      <c r="II6" t="e">
        <f>AND(Competitor!H76,"AAAAAF3d/vI=")</f>
        <v>#VALUE!</v>
      </c>
      <c r="IJ6" t="e">
        <f>AND(Competitor!I76,"AAAAAF3d/vM=")</f>
        <v>#VALUE!</v>
      </c>
      <c r="IK6" t="e">
        <f>AND(Competitor!J76,"AAAAAF3d/vQ=")</f>
        <v>#VALUE!</v>
      </c>
      <c r="IL6" t="e">
        <f>AND(Competitor!K76,"AAAAAF3d/vU=")</f>
        <v>#VALUE!</v>
      </c>
      <c r="IM6" t="e">
        <f>AND(Competitor!L76,"AAAAAF3d/vY=")</f>
        <v>#VALUE!</v>
      </c>
      <c r="IN6" t="e">
        <f>AND(Competitor!M76,"AAAAAF3d/vc=")</f>
        <v>#VALUE!</v>
      </c>
      <c r="IO6" t="e">
        <f>AND(Competitor!N76,"AAAAAF3d/vg=")</f>
        <v>#VALUE!</v>
      </c>
      <c r="IP6" t="e">
        <f>AND(Competitor!O76,"AAAAAF3d/vk=")</f>
        <v>#VALUE!</v>
      </c>
      <c r="IQ6" t="e">
        <f>AND(Competitor!P76,"AAAAAF3d/vo=")</f>
        <v>#VALUE!</v>
      </c>
      <c r="IR6" t="str">
        <f>IF(Competitor!A:A,"AAAAAF3d/vs=",0)</f>
        <v>AAAAAF3d/vs=</v>
      </c>
      <c r="IS6">
        <f>IF(Competitor!B:B,"AAAAAF3d/vw=",0)</f>
        <v>0</v>
      </c>
      <c r="IT6">
        <f>IF(Competitor!C:C,"AAAAAF3d/v0=",0)</f>
        <v>0</v>
      </c>
      <c r="IU6">
        <f>IF(Competitor!D:D,"AAAAAF3d/v4=",0)</f>
        <v>0</v>
      </c>
      <c r="IV6">
        <f>IF(Competitor!E:E,"AAAAAF3d/v8=",0)</f>
        <v>0</v>
      </c>
    </row>
    <row r="7" spans="1:256" x14ac:dyDescent="0.25">
      <c r="A7">
        <f>IF(Competitor!F:F,"AAAAAB5/1wA=",0)</f>
        <v>0</v>
      </c>
      <c r="B7">
        <f>IF(Competitor!G:G,"AAAAAB5/1wE=",0)</f>
        <v>0</v>
      </c>
      <c r="C7" t="e">
        <f>IF(Competitor!H:H,"AAAAAB5/1wI=",0)</f>
        <v>#VALUE!</v>
      </c>
      <c r="D7">
        <f>IF(Competitor!I:I,"AAAAAB5/1wM=",0)</f>
        <v>0</v>
      </c>
      <c r="E7">
        <f>IF(Competitor!J:J,"AAAAAB5/1wQ=",0)</f>
        <v>0</v>
      </c>
      <c r="F7">
        <f>IF(Competitor!K:K,"AAAAAB5/1wU=",0)</f>
        <v>0</v>
      </c>
      <c r="G7">
        <f>IF(Competitor!L:L,"AAAAAB5/1wY=",0)</f>
        <v>0</v>
      </c>
      <c r="H7">
        <f>IF(Competitor!M:M,"AAAAAB5/1wc=",0)</f>
        <v>0</v>
      </c>
      <c r="I7">
        <f>IF(Competitor!N:N,"AAAAAB5/1wg=",0)</f>
        <v>0</v>
      </c>
      <c r="J7">
        <f>IF(Competitor!O:O,"AAAAAB5/1wk=",0)</f>
        <v>0</v>
      </c>
      <c r="K7">
        <f>IF(Competitor!P:P,"AAAAAB5/1wo=",0)</f>
        <v>0</v>
      </c>
      <c r="L7">
        <f>IF('Group Team Show'!1:1,"AAAAAB5/1ws=",0)</f>
        <v>0</v>
      </c>
      <c r="M7" t="e">
        <f>AND('Group Team Show'!A1,"AAAAAB5/1ww=")</f>
        <v>#VALUE!</v>
      </c>
      <c r="N7" t="e">
        <f>AND('Group Team Show'!B1,"AAAAAB5/1w0=")</f>
        <v>#VALUE!</v>
      </c>
      <c r="O7" t="e">
        <f>AND('Group Team Show'!C1,"AAAAAB5/1w4=")</f>
        <v>#VALUE!</v>
      </c>
      <c r="P7" t="e">
        <f>AND('Group Team Show'!D1,"AAAAAB5/1w8=")</f>
        <v>#VALUE!</v>
      </c>
      <c r="Q7" t="e">
        <f>AND('Group Team Show'!E1,"AAAAAB5/1xA=")</f>
        <v>#VALUE!</v>
      </c>
      <c r="R7" t="e">
        <f>AND('Group Team Show'!F1,"AAAAAB5/1xE=")</f>
        <v>#VALUE!</v>
      </c>
      <c r="S7" t="e">
        <f>AND('Group Team Show'!H1,"AAAAAB5/1xI=")</f>
        <v>#VALUE!</v>
      </c>
      <c r="T7" t="e">
        <f>AND('Group Team Show'!I1,"AAAAAB5/1xM=")</f>
        <v>#VALUE!</v>
      </c>
      <c r="U7" t="e">
        <f>AND('Group Team Show'!J1,"AAAAAB5/1xQ=")</f>
        <v>#VALUE!</v>
      </c>
      <c r="V7" t="e">
        <f>AND('Group Team Show'!K1,"AAAAAB5/1xU=")</f>
        <v>#VALUE!</v>
      </c>
      <c r="W7" t="e">
        <f>AND('Group Team Show'!L1,"AAAAAB5/1xY=")</f>
        <v>#VALUE!</v>
      </c>
      <c r="X7" t="e">
        <f>AND('Group Team Show'!M1,"AAAAAB5/1xc=")</f>
        <v>#VALUE!</v>
      </c>
      <c r="Y7" t="e">
        <f>AND('Group Team Show'!O1,"AAAAAB5/1xg=")</f>
        <v>#VALUE!</v>
      </c>
      <c r="Z7">
        <f>IF('Group Team Show'!2:2,"AAAAAB5/1xk=",0)</f>
        <v>0</v>
      </c>
      <c r="AA7" t="e">
        <f>AND('Group Team Show'!#REF!,"AAAAAB5/1xo=")</f>
        <v>#REF!</v>
      </c>
      <c r="AB7" t="e">
        <f>AND('Group Team Show'!B2,"AAAAAB5/1xs=")</f>
        <v>#VALUE!</v>
      </c>
      <c r="AC7" t="e">
        <f>AND('Group Team Show'!C2,"AAAAAB5/1xw=")</f>
        <v>#VALUE!</v>
      </c>
      <c r="AD7" t="e">
        <f>AND('Group Team Show'!D2,"AAAAAB5/1x0=")</f>
        <v>#VALUE!</v>
      </c>
      <c r="AE7" t="e">
        <f>AND('Group Team Show'!E2,"AAAAAB5/1x4=")</f>
        <v>#VALUE!</v>
      </c>
      <c r="AF7" t="e">
        <f>AND('Group Team Show'!F2,"AAAAAB5/1x8=")</f>
        <v>#VALUE!</v>
      </c>
      <c r="AG7" t="e">
        <f>AND('Group Team Show'!H2,"AAAAAB5/1yA=")</f>
        <v>#VALUE!</v>
      </c>
      <c r="AH7" t="e">
        <f>AND('Group Team Show'!I2,"AAAAAB5/1yE=")</f>
        <v>#VALUE!</v>
      </c>
      <c r="AI7" t="e">
        <f>AND('Group Team Show'!J2,"AAAAAB5/1yI=")</f>
        <v>#VALUE!</v>
      </c>
      <c r="AJ7" t="e">
        <f>AND('Group Team Show'!K2,"AAAAAB5/1yM=")</f>
        <v>#VALUE!</v>
      </c>
      <c r="AK7" t="e">
        <f>AND('Group Team Show'!L2,"AAAAAB5/1yQ=")</f>
        <v>#VALUE!</v>
      </c>
      <c r="AL7" t="e">
        <f>AND('Group Team Show'!M2,"AAAAAB5/1yU=")</f>
        <v>#VALUE!</v>
      </c>
      <c r="AM7" t="e">
        <f>AND('Group Team Show'!N2,"AAAAAB5/1yY=")</f>
        <v>#VALUE!</v>
      </c>
      <c r="AN7">
        <f>IF('Group Team Show'!3:3,"AAAAAB5/1yc=",0)</f>
        <v>0</v>
      </c>
      <c r="AO7" t="e">
        <f>AND('Group Team Show'!A3,"AAAAAB5/1yg=")</f>
        <v>#VALUE!</v>
      </c>
      <c r="AP7" t="e">
        <f>AND('Group Team Show'!B3,"AAAAAB5/1yk=")</f>
        <v>#VALUE!</v>
      </c>
      <c r="AQ7" t="e">
        <f>AND('Group Team Show'!C3,"AAAAAB5/1yo=")</f>
        <v>#VALUE!</v>
      </c>
      <c r="AR7" t="e">
        <f>AND('Group Team Show'!D3,"AAAAAB5/1ys=")</f>
        <v>#VALUE!</v>
      </c>
      <c r="AS7" t="e">
        <f>AND('Group Team Show'!E3,"AAAAAB5/1yw=")</f>
        <v>#VALUE!</v>
      </c>
      <c r="AT7" t="e">
        <f>AND('Group Team Show'!F3,"AAAAAB5/1y0=")</f>
        <v>#VALUE!</v>
      </c>
      <c r="AU7" t="e">
        <f>AND('Group Team Show'!H3,"AAAAAB5/1y4=")</f>
        <v>#VALUE!</v>
      </c>
      <c r="AV7" t="e">
        <f>AND('Group Team Show'!I3,"AAAAAB5/1y8=")</f>
        <v>#VALUE!</v>
      </c>
      <c r="AW7" t="e">
        <f>AND('Group Team Show'!J3,"AAAAAB5/1zA=")</f>
        <v>#VALUE!</v>
      </c>
      <c r="AX7" t="e">
        <f>AND('Group Team Show'!K3,"AAAAAB5/1zE=")</f>
        <v>#VALUE!</v>
      </c>
      <c r="AY7" t="e">
        <f>AND('Group Team Show'!L3,"AAAAAB5/1zI=")</f>
        <v>#VALUE!</v>
      </c>
      <c r="AZ7" t="e">
        <f>AND('Group Team Show'!M3,"AAAAAB5/1zM=")</f>
        <v>#VALUE!</v>
      </c>
      <c r="BA7" t="e">
        <f>AND('Group Team Show'!N3,"AAAAAB5/1zQ=")</f>
        <v>#VALUE!</v>
      </c>
      <c r="BB7">
        <f>IF('Group Team Show'!4:4,"AAAAAB5/1zU=",0)</f>
        <v>0</v>
      </c>
      <c r="BC7" t="e">
        <f>AND('Group Team Show'!A4,"AAAAAB5/1zY=")</f>
        <v>#VALUE!</v>
      </c>
      <c r="BD7" t="e">
        <f>AND('Group Team Show'!B4,"AAAAAB5/1zc=")</f>
        <v>#VALUE!</v>
      </c>
      <c r="BE7" t="e">
        <f>AND('Group Team Show'!C4,"AAAAAB5/1zg=")</f>
        <v>#VALUE!</v>
      </c>
      <c r="BF7" t="e">
        <f>AND('Group Team Show'!D4,"AAAAAB5/1zk=")</f>
        <v>#VALUE!</v>
      </c>
      <c r="BG7" t="e">
        <f>AND('Group Team Show'!E4,"AAAAAB5/1zo=")</f>
        <v>#VALUE!</v>
      </c>
      <c r="BH7" t="e">
        <f>AND('Group Team Show'!F4,"AAAAAB5/1zs=")</f>
        <v>#VALUE!</v>
      </c>
      <c r="BI7" t="e">
        <f>AND('Group Team Show'!H4,"AAAAAB5/1zw=")</f>
        <v>#VALUE!</v>
      </c>
      <c r="BJ7" t="e">
        <f>AND('Group Team Show'!I4,"AAAAAB5/1z0=")</f>
        <v>#VALUE!</v>
      </c>
      <c r="BK7" t="e">
        <f>AND('Group Team Show'!J4,"AAAAAB5/1z4=")</f>
        <v>#VALUE!</v>
      </c>
      <c r="BL7" t="e">
        <f>AND('Group Team Show'!K4,"AAAAAB5/1z8=")</f>
        <v>#VALUE!</v>
      </c>
      <c r="BM7" t="e">
        <f>AND('Group Team Show'!L4,"AAAAAB5/10A=")</f>
        <v>#VALUE!</v>
      </c>
      <c r="BN7" t="e">
        <f>AND('Group Team Show'!M4,"AAAAAB5/10E=")</f>
        <v>#VALUE!</v>
      </c>
      <c r="BO7" t="e">
        <f>AND('Group Team Show'!N4,"AAAAAB5/10I=")</f>
        <v>#VALUE!</v>
      </c>
      <c r="BP7">
        <f>IF('Group Team Show'!5:5,"AAAAAB5/10M=",0)</f>
        <v>0</v>
      </c>
      <c r="BQ7" t="b">
        <f>AND('Group Team Show'!A5,"AAAAAB5/10Q=")</f>
        <v>1</v>
      </c>
      <c r="BR7" t="e">
        <f>AND('Group Team Show'!B5,"AAAAAB5/10U=")</f>
        <v>#VALUE!</v>
      </c>
      <c r="BS7" t="e">
        <f>AND('Group Team Show'!C5,"AAAAAB5/10Y=")</f>
        <v>#VALUE!</v>
      </c>
      <c r="BT7" t="e">
        <f>AND('Group Team Show'!D5,"AAAAAB5/10c=")</f>
        <v>#VALUE!</v>
      </c>
      <c r="BU7" t="e">
        <f>AND('Group Team Show'!E5,"AAAAAB5/10g=")</f>
        <v>#VALUE!</v>
      </c>
      <c r="BV7" t="e">
        <f>AND('Group Team Show'!F5,"AAAAAB5/10k=")</f>
        <v>#VALUE!</v>
      </c>
      <c r="BW7" t="e">
        <f>AND('Group Team Show'!H5,"AAAAAB5/10o=")</f>
        <v>#VALUE!</v>
      </c>
      <c r="BX7" t="b">
        <f>AND('Group Team Show'!I5,"AAAAAB5/10s=")</f>
        <v>1</v>
      </c>
      <c r="BY7" t="e">
        <f>AND('Group Team Show'!J5,"AAAAAB5/10w=")</f>
        <v>#VALUE!</v>
      </c>
      <c r="BZ7" t="e">
        <f>AND('Group Team Show'!K5,"AAAAAB5/100=")</f>
        <v>#VALUE!</v>
      </c>
      <c r="CA7" t="e">
        <f>AND('Group Team Show'!L5,"AAAAAB5/104=")</f>
        <v>#VALUE!</v>
      </c>
      <c r="CB7" t="e">
        <f>AND('Group Team Show'!M5,"AAAAAB5/108=")</f>
        <v>#VALUE!</v>
      </c>
      <c r="CC7" t="e">
        <f>AND('Group Team Show'!N5,"AAAAAB5/11A=")</f>
        <v>#VALUE!</v>
      </c>
      <c r="CD7">
        <f>IF('Group Team Show'!6:6,"AAAAAB5/11E=",0)</f>
        <v>0</v>
      </c>
      <c r="CE7" t="b">
        <f>AND('Group Team Show'!A6,"AAAAAB5/11I=")</f>
        <v>1</v>
      </c>
      <c r="CF7" t="e">
        <f>AND('Group Team Show'!B6,"AAAAAB5/11M=")</f>
        <v>#VALUE!</v>
      </c>
      <c r="CG7" t="e">
        <f>AND('Group Team Show'!C6,"AAAAAB5/11Q=")</f>
        <v>#VALUE!</v>
      </c>
      <c r="CH7" t="e">
        <f>AND('Group Team Show'!D6,"AAAAAB5/11U=")</f>
        <v>#VALUE!</v>
      </c>
      <c r="CI7" t="e">
        <f>AND('Group Team Show'!E6,"AAAAAB5/11Y=")</f>
        <v>#VALUE!</v>
      </c>
      <c r="CJ7" t="e">
        <f>AND('Group Team Show'!F6,"AAAAAB5/11c=")</f>
        <v>#VALUE!</v>
      </c>
      <c r="CK7" t="e">
        <f>AND('Group Team Show'!H6,"AAAAAB5/11g=")</f>
        <v>#VALUE!</v>
      </c>
      <c r="CL7" t="b">
        <f>AND('Group Team Show'!I6,"AAAAAB5/11k=")</f>
        <v>1</v>
      </c>
      <c r="CM7" t="e">
        <f>AND('Group Team Show'!J6,"AAAAAB5/11o=")</f>
        <v>#VALUE!</v>
      </c>
      <c r="CN7" t="e">
        <f>AND('Group Team Show'!K6,"AAAAAB5/11s=")</f>
        <v>#VALUE!</v>
      </c>
      <c r="CO7" t="e">
        <f>AND('Group Team Show'!L6,"AAAAAB5/11w=")</f>
        <v>#VALUE!</v>
      </c>
      <c r="CP7" t="e">
        <f>AND('Group Team Show'!M6,"AAAAAB5/110=")</f>
        <v>#VALUE!</v>
      </c>
      <c r="CQ7" t="e">
        <f>AND('Group Team Show'!N6,"AAAAAB5/114=")</f>
        <v>#VALUE!</v>
      </c>
      <c r="CR7">
        <f>IF('Group Team Show'!7:7,"AAAAAB5/118=",0)</f>
        <v>0</v>
      </c>
      <c r="CS7" t="b">
        <f>AND('Group Team Show'!A7,"AAAAAB5/12A=")</f>
        <v>1</v>
      </c>
      <c r="CT7" t="e">
        <f>AND('Group Team Show'!B7,"AAAAAB5/12E=")</f>
        <v>#VALUE!</v>
      </c>
      <c r="CU7" t="e">
        <f>AND('Group Team Show'!C7,"AAAAAB5/12I=")</f>
        <v>#VALUE!</v>
      </c>
      <c r="CV7" t="e">
        <f>AND('Group Team Show'!D7,"AAAAAB5/12M=")</f>
        <v>#VALUE!</v>
      </c>
      <c r="CW7" t="e">
        <f>AND('Group Team Show'!E7,"AAAAAB5/12Q=")</f>
        <v>#VALUE!</v>
      </c>
      <c r="CX7" t="e">
        <f>AND('Group Team Show'!F7,"AAAAAB5/12U=")</f>
        <v>#VALUE!</v>
      </c>
      <c r="CY7" t="e">
        <f>AND('Group Team Show'!H7,"AAAAAB5/12Y=")</f>
        <v>#VALUE!</v>
      </c>
      <c r="CZ7" t="b">
        <f>AND('Group Team Show'!I7,"AAAAAB5/12c=")</f>
        <v>1</v>
      </c>
      <c r="DA7" t="e">
        <f>AND('Group Team Show'!J7,"AAAAAB5/12g=")</f>
        <v>#VALUE!</v>
      </c>
      <c r="DB7" t="e">
        <f>AND('Group Team Show'!K7,"AAAAAB5/12k=")</f>
        <v>#VALUE!</v>
      </c>
      <c r="DC7" t="e">
        <f>AND('Group Team Show'!L7,"AAAAAB5/12o=")</f>
        <v>#VALUE!</v>
      </c>
      <c r="DD7" t="e">
        <f>AND('Group Team Show'!M7,"AAAAAB5/12s=")</f>
        <v>#VALUE!</v>
      </c>
      <c r="DE7" t="e">
        <f>AND('Group Team Show'!N7,"AAAAAB5/12w=")</f>
        <v>#VALUE!</v>
      </c>
      <c r="DF7">
        <f>IF('Group Team Show'!8:8,"AAAAAB5/120=",0)</f>
        <v>0</v>
      </c>
      <c r="DG7" t="b">
        <f>AND('Group Team Show'!A8,"AAAAAB5/124=")</f>
        <v>1</v>
      </c>
      <c r="DH7" t="e">
        <f>AND('Group Team Show'!B8,"AAAAAB5/128=")</f>
        <v>#VALUE!</v>
      </c>
      <c r="DI7" t="e">
        <f>AND('Group Team Show'!C8,"AAAAAB5/13A=")</f>
        <v>#VALUE!</v>
      </c>
      <c r="DJ7" t="e">
        <f>AND('Group Team Show'!D8,"AAAAAB5/13E=")</f>
        <v>#VALUE!</v>
      </c>
      <c r="DK7" t="e">
        <f>AND('Group Team Show'!E8,"AAAAAB5/13I=")</f>
        <v>#VALUE!</v>
      </c>
      <c r="DL7" t="e">
        <f>AND('Group Team Show'!F8,"AAAAAB5/13M=")</f>
        <v>#VALUE!</v>
      </c>
      <c r="DM7" t="e">
        <f>AND('Group Team Show'!H8,"AAAAAB5/13Q=")</f>
        <v>#VALUE!</v>
      </c>
      <c r="DN7" t="b">
        <f>AND('Group Team Show'!I8,"AAAAAB5/13U=")</f>
        <v>1</v>
      </c>
      <c r="DO7" t="e">
        <f>AND('Group Team Show'!J8,"AAAAAB5/13Y=")</f>
        <v>#VALUE!</v>
      </c>
      <c r="DP7" t="e">
        <f>AND('Group Team Show'!K8,"AAAAAB5/13c=")</f>
        <v>#VALUE!</v>
      </c>
      <c r="DQ7" t="e">
        <f>AND('Group Team Show'!L8,"AAAAAB5/13g=")</f>
        <v>#VALUE!</v>
      </c>
      <c r="DR7" t="e">
        <f>AND('Group Team Show'!M8,"AAAAAB5/13k=")</f>
        <v>#VALUE!</v>
      </c>
      <c r="DS7" t="e">
        <f>AND('Group Team Show'!N8,"AAAAAB5/13o=")</f>
        <v>#VALUE!</v>
      </c>
      <c r="DT7">
        <f>IF('Group Team Show'!9:9,"AAAAAB5/13s=",0)</f>
        <v>0</v>
      </c>
      <c r="DU7" t="b">
        <f>AND('Group Team Show'!A9,"AAAAAB5/13w=")</f>
        <v>1</v>
      </c>
      <c r="DV7" t="e">
        <f>AND('Group Team Show'!B9,"AAAAAB5/130=")</f>
        <v>#VALUE!</v>
      </c>
      <c r="DW7" t="e">
        <f>AND('Group Team Show'!C9,"AAAAAB5/134=")</f>
        <v>#VALUE!</v>
      </c>
      <c r="DX7" t="e">
        <f>AND('Group Team Show'!D9,"AAAAAB5/138=")</f>
        <v>#VALUE!</v>
      </c>
      <c r="DY7" t="e">
        <f>AND('Group Team Show'!E9,"AAAAAB5/14A=")</f>
        <v>#VALUE!</v>
      </c>
      <c r="DZ7" t="e">
        <f>AND('Group Team Show'!F9,"AAAAAB5/14E=")</f>
        <v>#VALUE!</v>
      </c>
      <c r="EA7" t="e">
        <f>AND('Group Team Show'!H9,"AAAAAB5/14I=")</f>
        <v>#VALUE!</v>
      </c>
      <c r="EB7" t="b">
        <f>AND('Group Team Show'!I9,"AAAAAB5/14M=")</f>
        <v>1</v>
      </c>
      <c r="EC7" t="e">
        <f>AND('Group Team Show'!J9,"AAAAAB5/14Q=")</f>
        <v>#VALUE!</v>
      </c>
      <c r="ED7" t="e">
        <f>AND('Group Team Show'!K9,"AAAAAB5/14U=")</f>
        <v>#VALUE!</v>
      </c>
      <c r="EE7" t="e">
        <f>AND('Group Team Show'!L9,"AAAAAB5/14Y=")</f>
        <v>#VALUE!</v>
      </c>
      <c r="EF7" t="e">
        <f>AND('Group Team Show'!M9,"AAAAAB5/14c=")</f>
        <v>#VALUE!</v>
      </c>
      <c r="EG7" t="e">
        <f>AND('Group Team Show'!N9,"AAAAAB5/14g=")</f>
        <v>#VALUE!</v>
      </c>
      <c r="EH7">
        <f>IF('Group Team Show'!10:10,"AAAAAB5/14k=",0)</f>
        <v>0</v>
      </c>
      <c r="EI7" t="b">
        <f>AND('Group Team Show'!A10,"AAAAAB5/14o=")</f>
        <v>1</v>
      </c>
      <c r="EJ7" t="e">
        <f>AND('Group Team Show'!B10,"AAAAAB5/14s=")</f>
        <v>#VALUE!</v>
      </c>
      <c r="EK7" t="e">
        <f>AND('Group Team Show'!C10,"AAAAAB5/14w=")</f>
        <v>#VALUE!</v>
      </c>
      <c r="EL7" t="e">
        <f>AND('Group Team Show'!D10,"AAAAAB5/140=")</f>
        <v>#VALUE!</v>
      </c>
      <c r="EM7" t="e">
        <f>AND('Group Team Show'!E10,"AAAAAB5/144=")</f>
        <v>#VALUE!</v>
      </c>
      <c r="EN7" t="e">
        <f>AND('Group Team Show'!F10,"AAAAAB5/148=")</f>
        <v>#VALUE!</v>
      </c>
      <c r="EO7" t="e">
        <f>AND('Group Team Show'!H10,"AAAAAB5/15A=")</f>
        <v>#VALUE!</v>
      </c>
      <c r="EP7" t="b">
        <f>AND('Group Team Show'!I10,"AAAAAB5/15E=")</f>
        <v>1</v>
      </c>
      <c r="EQ7" t="e">
        <f>AND('Group Team Show'!J10,"AAAAAB5/15I=")</f>
        <v>#VALUE!</v>
      </c>
      <c r="ER7" t="e">
        <f>AND('Group Team Show'!K10,"AAAAAB5/15M=")</f>
        <v>#VALUE!</v>
      </c>
      <c r="ES7" t="e">
        <f>AND('Group Team Show'!L10,"AAAAAB5/15Q=")</f>
        <v>#VALUE!</v>
      </c>
      <c r="ET7" t="e">
        <f>AND('Group Team Show'!M10,"AAAAAB5/15U=")</f>
        <v>#VALUE!</v>
      </c>
      <c r="EU7" t="e">
        <f>AND('Group Team Show'!N10,"AAAAAB5/15Y=")</f>
        <v>#VALUE!</v>
      </c>
      <c r="EV7">
        <f>IF('Group Team Show'!11:11,"AAAAAB5/15c=",0)</f>
        <v>0</v>
      </c>
      <c r="EW7" t="b">
        <f>AND('Group Team Show'!A11,"AAAAAB5/15g=")</f>
        <v>1</v>
      </c>
      <c r="EX7" t="e">
        <f>AND('Group Team Show'!B11,"AAAAAB5/15k=")</f>
        <v>#VALUE!</v>
      </c>
      <c r="EY7" t="e">
        <f>AND('Group Team Show'!C11,"AAAAAB5/15o=")</f>
        <v>#VALUE!</v>
      </c>
      <c r="EZ7" t="e">
        <f>AND('Group Team Show'!D11,"AAAAAB5/15s=")</f>
        <v>#VALUE!</v>
      </c>
      <c r="FA7" t="e">
        <f>AND('Group Team Show'!E11,"AAAAAB5/15w=")</f>
        <v>#VALUE!</v>
      </c>
      <c r="FB7" t="e">
        <f>AND('Group Team Show'!F11,"AAAAAB5/150=")</f>
        <v>#VALUE!</v>
      </c>
      <c r="FC7" t="e">
        <f>AND('Group Team Show'!H11,"AAAAAB5/154=")</f>
        <v>#VALUE!</v>
      </c>
      <c r="FD7" t="b">
        <f>AND('Group Team Show'!I11,"AAAAAB5/158=")</f>
        <v>1</v>
      </c>
      <c r="FE7" t="e">
        <f>AND('Group Team Show'!J11,"AAAAAB5/16A=")</f>
        <v>#VALUE!</v>
      </c>
      <c r="FF7" t="e">
        <f>AND('Group Team Show'!K11,"AAAAAB5/16E=")</f>
        <v>#VALUE!</v>
      </c>
      <c r="FG7" t="e">
        <f>AND('Group Team Show'!L11,"AAAAAB5/16I=")</f>
        <v>#VALUE!</v>
      </c>
      <c r="FH7" t="e">
        <f>AND('Group Team Show'!M11,"AAAAAB5/16M=")</f>
        <v>#VALUE!</v>
      </c>
      <c r="FI7" t="e">
        <f>AND('Group Team Show'!N11,"AAAAAB5/16Q=")</f>
        <v>#VALUE!</v>
      </c>
      <c r="FJ7">
        <f>IF('Group Team Show'!12:12,"AAAAAB5/16U=",0)</f>
        <v>0</v>
      </c>
      <c r="FK7" t="b">
        <f>AND('Group Team Show'!A12,"AAAAAB5/16Y=")</f>
        <v>1</v>
      </c>
      <c r="FL7" t="e">
        <f>AND('Group Team Show'!B12,"AAAAAB5/16c=")</f>
        <v>#VALUE!</v>
      </c>
      <c r="FM7" t="e">
        <f>AND('Group Team Show'!C12,"AAAAAB5/16g=")</f>
        <v>#VALUE!</v>
      </c>
      <c r="FN7" t="e">
        <f>AND('Group Team Show'!D12,"AAAAAB5/16k=")</f>
        <v>#VALUE!</v>
      </c>
      <c r="FO7" t="e">
        <f>AND('Group Team Show'!E12,"AAAAAB5/16o=")</f>
        <v>#VALUE!</v>
      </c>
      <c r="FP7" t="e">
        <f>AND('Group Team Show'!F12,"AAAAAB5/16s=")</f>
        <v>#VALUE!</v>
      </c>
      <c r="FQ7" t="e">
        <f>AND('Group Team Show'!H12,"AAAAAB5/16w=")</f>
        <v>#VALUE!</v>
      </c>
      <c r="FR7" t="b">
        <f>AND('Group Team Show'!I12,"AAAAAB5/160=")</f>
        <v>1</v>
      </c>
      <c r="FS7" t="e">
        <f>AND('Group Team Show'!J12,"AAAAAB5/164=")</f>
        <v>#VALUE!</v>
      </c>
      <c r="FT7" t="e">
        <f>AND('Group Team Show'!K12,"AAAAAB5/168=")</f>
        <v>#VALUE!</v>
      </c>
      <c r="FU7" t="e">
        <f>AND('Group Team Show'!L12,"AAAAAB5/17A=")</f>
        <v>#VALUE!</v>
      </c>
      <c r="FV7" t="e">
        <f>AND('Group Team Show'!M12,"AAAAAB5/17E=")</f>
        <v>#VALUE!</v>
      </c>
      <c r="FW7" t="e">
        <f>AND('Group Team Show'!N12,"AAAAAB5/17I=")</f>
        <v>#VALUE!</v>
      </c>
      <c r="FX7">
        <f>IF('Group Team Show'!13:13,"AAAAAB5/17M=",0)</f>
        <v>0</v>
      </c>
      <c r="FY7" t="b">
        <f>AND('Group Team Show'!A13,"AAAAAB5/17Q=")</f>
        <v>1</v>
      </c>
      <c r="FZ7" t="e">
        <f>AND('Group Team Show'!B13,"AAAAAB5/17U=")</f>
        <v>#VALUE!</v>
      </c>
      <c r="GA7" t="e">
        <f>AND('Group Team Show'!C13,"AAAAAB5/17Y=")</f>
        <v>#VALUE!</v>
      </c>
      <c r="GB7" t="e">
        <f>AND('Group Team Show'!D13,"AAAAAB5/17c=")</f>
        <v>#VALUE!</v>
      </c>
      <c r="GC7" t="e">
        <f>AND('Group Team Show'!E13,"AAAAAB5/17g=")</f>
        <v>#VALUE!</v>
      </c>
      <c r="GD7" t="e">
        <f>AND('Group Team Show'!F13,"AAAAAB5/17k=")</f>
        <v>#VALUE!</v>
      </c>
      <c r="GE7" t="e">
        <f>AND('Group Team Show'!H13,"AAAAAB5/17o=")</f>
        <v>#VALUE!</v>
      </c>
      <c r="GF7" t="b">
        <f>AND('Group Team Show'!I13,"AAAAAB5/17s=")</f>
        <v>1</v>
      </c>
      <c r="GG7" t="e">
        <f>AND('Group Team Show'!J13,"AAAAAB5/17w=")</f>
        <v>#VALUE!</v>
      </c>
      <c r="GH7" t="e">
        <f>AND('Group Team Show'!K13,"AAAAAB5/170=")</f>
        <v>#VALUE!</v>
      </c>
      <c r="GI7" t="e">
        <f>AND('Group Team Show'!L13,"AAAAAB5/174=")</f>
        <v>#VALUE!</v>
      </c>
      <c r="GJ7" t="e">
        <f>AND('Group Team Show'!M13,"AAAAAB5/178=")</f>
        <v>#VALUE!</v>
      </c>
      <c r="GK7" t="e">
        <f>AND('Group Team Show'!N13,"AAAAAB5/18A=")</f>
        <v>#VALUE!</v>
      </c>
      <c r="GL7">
        <f>IF('Group Team Show'!14:14,"AAAAAB5/18E=",0)</f>
        <v>0</v>
      </c>
      <c r="GM7" t="b">
        <f>AND('Group Team Show'!A14,"AAAAAB5/18I=")</f>
        <v>1</v>
      </c>
      <c r="GN7" t="e">
        <f>AND('Group Team Show'!B14,"AAAAAB5/18M=")</f>
        <v>#VALUE!</v>
      </c>
      <c r="GO7" t="e">
        <f>AND('Group Team Show'!C14,"AAAAAB5/18Q=")</f>
        <v>#VALUE!</v>
      </c>
      <c r="GP7" t="e">
        <f>AND('Group Team Show'!D14,"AAAAAB5/18U=")</f>
        <v>#VALUE!</v>
      </c>
      <c r="GQ7" t="e">
        <f>AND('Group Team Show'!E14,"AAAAAB5/18Y=")</f>
        <v>#VALUE!</v>
      </c>
      <c r="GR7" t="e">
        <f>AND('Group Team Show'!F14,"AAAAAB5/18c=")</f>
        <v>#VALUE!</v>
      </c>
      <c r="GS7" t="e">
        <f>AND('Group Team Show'!H14,"AAAAAB5/18g=")</f>
        <v>#VALUE!</v>
      </c>
      <c r="GT7" t="b">
        <f>AND('Group Team Show'!I14,"AAAAAB5/18k=")</f>
        <v>1</v>
      </c>
      <c r="GU7" t="e">
        <f>AND('Group Team Show'!J14,"AAAAAB5/18o=")</f>
        <v>#VALUE!</v>
      </c>
      <c r="GV7" t="e">
        <f>AND('Group Team Show'!K14,"AAAAAB5/18s=")</f>
        <v>#VALUE!</v>
      </c>
      <c r="GW7" t="e">
        <f>AND('Group Team Show'!L14,"AAAAAB5/18w=")</f>
        <v>#VALUE!</v>
      </c>
      <c r="GX7" t="e">
        <f>AND('Group Team Show'!M14,"AAAAAB5/180=")</f>
        <v>#VALUE!</v>
      </c>
      <c r="GY7" t="e">
        <f>AND('Group Team Show'!N14,"AAAAAB5/184=")</f>
        <v>#VALUE!</v>
      </c>
      <c r="GZ7">
        <f>IF('Group Team Show'!20:20,"AAAAAB5/188=",0)</f>
        <v>0</v>
      </c>
      <c r="HA7" t="b">
        <f>AND('Group Team Show'!A20,"AAAAAB5/19A=")</f>
        <v>1</v>
      </c>
      <c r="HB7" t="e">
        <f>AND('Group Team Show'!B20,"AAAAAB5/19E=")</f>
        <v>#VALUE!</v>
      </c>
      <c r="HC7" t="e">
        <f>AND('Group Team Show'!C20,"AAAAAB5/19I=")</f>
        <v>#VALUE!</v>
      </c>
      <c r="HD7" t="e">
        <f>AND('Group Team Show'!D20,"AAAAAB5/19M=")</f>
        <v>#VALUE!</v>
      </c>
      <c r="HE7" t="e">
        <f>AND('Group Team Show'!E20,"AAAAAB5/19Q=")</f>
        <v>#VALUE!</v>
      </c>
      <c r="HF7" t="e">
        <f>AND('Group Team Show'!F20,"AAAAAB5/19U=")</f>
        <v>#VALUE!</v>
      </c>
      <c r="HG7" t="e">
        <f>AND('Group Team Show'!H20,"AAAAAB5/19Y=")</f>
        <v>#VALUE!</v>
      </c>
      <c r="HH7" t="b">
        <f>AND('Group Team Show'!I20,"AAAAAB5/19c=")</f>
        <v>1</v>
      </c>
      <c r="HI7" t="e">
        <f>AND('Group Team Show'!J20,"AAAAAB5/19g=")</f>
        <v>#VALUE!</v>
      </c>
      <c r="HJ7" t="e">
        <f>AND('Group Team Show'!K20,"AAAAAB5/19k=")</f>
        <v>#VALUE!</v>
      </c>
      <c r="HK7" t="e">
        <f>AND('Group Team Show'!L20,"AAAAAB5/19o=")</f>
        <v>#VALUE!</v>
      </c>
      <c r="HL7" t="e">
        <f>AND('Group Team Show'!M20,"AAAAAB5/19s=")</f>
        <v>#VALUE!</v>
      </c>
      <c r="HM7" t="e">
        <f>AND('Group Team Show'!N20,"AAAAAB5/19w=")</f>
        <v>#VALUE!</v>
      </c>
      <c r="HN7" t="str">
        <f>IF('Group Team Show'!A:A,"AAAAAB5/190=",0)</f>
        <v>AAAAAB5/190=</v>
      </c>
      <c r="HO7" t="e">
        <f>IF('Group Team Show'!B:B,"AAAAAB5/194=",0)</f>
        <v>#VALUE!</v>
      </c>
      <c r="HP7" t="e">
        <f>IF('Group Team Show'!C:C,"AAAAAB5/198=",0)</f>
        <v>#VALUE!</v>
      </c>
      <c r="HQ7">
        <f>IF('Group Team Show'!D:D,"AAAAAB5/1+A=",0)</f>
        <v>0</v>
      </c>
      <c r="HR7" t="e">
        <f>IF('Group Team Show'!E:E,"AAAAAB5/1+E=",0)</f>
        <v>#VALUE!</v>
      </c>
      <c r="HS7" t="e">
        <f>IF('Group Team Show'!F:F,"AAAAAB5/1+I=",0)</f>
        <v>#VALUE!</v>
      </c>
      <c r="HT7">
        <f>IF('Group Team Show'!H:H,"AAAAAB5/1+M=",0)</f>
        <v>0</v>
      </c>
      <c r="HU7" t="str">
        <f>IF('Group Team Show'!I:I,"AAAAAB5/1+Q=",0)</f>
        <v>AAAAAB5/1+Q=</v>
      </c>
      <c r="HV7" t="e">
        <f>IF('Group Team Show'!J:J,"AAAAAB5/1+U=",0)</f>
        <v>#VALUE!</v>
      </c>
      <c r="HW7" t="e">
        <f>IF('Group Team Show'!K:K,"AAAAAB5/1+Y=",0)</f>
        <v>#VALUE!</v>
      </c>
      <c r="HX7">
        <f>IF('Group Team Show'!L:L,"AAAAAB5/1+c=",0)</f>
        <v>0</v>
      </c>
      <c r="HY7" t="e">
        <f>IF('Group Team Show'!M:M,"AAAAAB5/1+g=",0)</f>
        <v>#VALUE!</v>
      </c>
      <c r="HZ7" t="e">
        <f>IF('Group Team Show'!N:N,"AAAAAB5/1+k=",0)</f>
        <v>#VALUE!</v>
      </c>
      <c r="IA7">
        <f>IF('Male Individual Rope Singles'!1:1,"AAAAAB5/1+o=",0)</f>
        <v>0</v>
      </c>
      <c r="IB7" t="e">
        <f>AND('Male Individual Rope Singles'!A1,"AAAAAB5/1+s=")</f>
        <v>#VALUE!</v>
      </c>
      <c r="IC7" t="e">
        <f>AND('Male Individual Rope Singles'!B1,"AAAAAB5/1+w=")</f>
        <v>#VALUE!</v>
      </c>
      <c r="ID7" t="e">
        <f>AND('Male Individual Rope Singles'!C1,"AAAAAB5/1+0=")</f>
        <v>#VALUE!</v>
      </c>
      <c r="IE7" t="e">
        <f>AND('Male Individual Rope Singles'!D1,"AAAAAB5/1+4=")</f>
        <v>#VALUE!</v>
      </c>
      <c r="IF7" t="e">
        <f>AND('Male Individual Rope Singles'!E1,"AAAAAB5/1+8=")</f>
        <v>#VALUE!</v>
      </c>
      <c r="IG7" t="e">
        <f>AND('Male Individual Rope Singles'!F1,"AAAAAB5/1/A=")</f>
        <v>#VALUE!</v>
      </c>
      <c r="IH7" t="e">
        <f>AND('Male Individual Rope Singles'!G1,"AAAAAB5/1/E=")</f>
        <v>#VALUE!</v>
      </c>
      <c r="II7" t="e">
        <f>AND('Male Individual Rope Singles'!H1,"AAAAAB5/1/I=")</f>
        <v>#VALUE!</v>
      </c>
      <c r="IJ7" t="e">
        <f>AND('Male Individual Rope Singles'!I1,"AAAAAB5/1/M=")</f>
        <v>#VALUE!</v>
      </c>
      <c r="IK7" t="e">
        <f>AND('Male Individual Rope Singles'!J1,"AAAAAB5/1/Q=")</f>
        <v>#VALUE!</v>
      </c>
      <c r="IL7" t="e">
        <f>AND('Male Individual Rope Singles'!K1,"AAAAAB5/1/U=")</f>
        <v>#VALUE!</v>
      </c>
      <c r="IM7" t="e">
        <f>AND('Male Individual Rope Singles'!L1,"AAAAAB5/1/Y=")</f>
        <v>#VALUE!</v>
      </c>
      <c r="IN7" t="e">
        <f>AND('Male Individual Rope Singles'!M1,"AAAAAB5/1/c=")</f>
        <v>#VALUE!</v>
      </c>
      <c r="IO7">
        <f>IF('Male Individual Rope Singles'!2:2,"AAAAAB5/1/g=",0)</f>
        <v>0</v>
      </c>
      <c r="IP7" t="e">
        <f>AND('Male Individual Rope Singles'!A2,"AAAAAB5/1/k=")</f>
        <v>#VALUE!</v>
      </c>
      <c r="IQ7" t="e">
        <f>AND('Male Individual Rope Singles'!B2,"AAAAAB5/1/o=")</f>
        <v>#VALUE!</v>
      </c>
      <c r="IR7" t="e">
        <f>AND('Male Individual Rope Singles'!C2,"AAAAAB5/1/s=")</f>
        <v>#VALUE!</v>
      </c>
      <c r="IS7" t="e">
        <f>AND('Male Individual Rope Singles'!D2,"AAAAAB5/1/w=")</f>
        <v>#VALUE!</v>
      </c>
      <c r="IT7" t="e">
        <f>AND('Male Individual Rope Singles'!E2,"AAAAAB5/1/0=")</f>
        <v>#VALUE!</v>
      </c>
      <c r="IU7" t="e">
        <f>AND('Male Individual Rope Singles'!F2,"AAAAAB5/1/4=")</f>
        <v>#VALUE!</v>
      </c>
      <c r="IV7" t="e">
        <f>AND('Male Individual Rope Singles'!G2,"AAAAAB5/1/8=")</f>
        <v>#VALUE!</v>
      </c>
    </row>
    <row r="8" spans="1:256" x14ac:dyDescent="0.25">
      <c r="A8" t="e">
        <f>AND('Male Individual Rope Singles'!H2,"AAAAAFvd7gA=")</f>
        <v>#VALUE!</v>
      </c>
      <c r="B8" t="e">
        <f>AND('Male Individual Rope Singles'!I2,"AAAAAFvd7gE=")</f>
        <v>#VALUE!</v>
      </c>
      <c r="C8" t="e">
        <f>AND('Male Individual Rope Singles'!J2,"AAAAAFvd7gI=")</f>
        <v>#VALUE!</v>
      </c>
      <c r="D8" t="e">
        <f>AND('Male Individual Rope Singles'!K2,"AAAAAFvd7gM=")</f>
        <v>#VALUE!</v>
      </c>
      <c r="E8" t="e">
        <f>AND('Male Individual Rope Singles'!L2,"AAAAAFvd7gQ=")</f>
        <v>#VALUE!</v>
      </c>
      <c r="F8" t="e">
        <f>AND('Male Individual Rope Singles'!M2,"AAAAAFvd7gU=")</f>
        <v>#VALUE!</v>
      </c>
      <c r="G8">
        <f>IF('Male Individual Rope Singles'!3:3,"AAAAAFvd7gY=",0)</f>
        <v>0</v>
      </c>
      <c r="H8" t="e">
        <f>AND('Male Individual Rope Singles'!A3,"AAAAAFvd7gc=")</f>
        <v>#VALUE!</v>
      </c>
      <c r="I8" t="e">
        <f>AND('Male Individual Rope Singles'!B3,"AAAAAFvd7gg=")</f>
        <v>#VALUE!</v>
      </c>
      <c r="J8" t="e">
        <f>AND('Male Individual Rope Singles'!C3,"AAAAAFvd7gk=")</f>
        <v>#VALUE!</v>
      </c>
      <c r="K8" t="e">
        <f>AND('Male Individual Rope Singles'!D3,"AAAAAFvd7go=")</f>
        <v>#VALUE!</v>
      </c>
      <c r="L8" t="e">
        <f>AND('Male Individual Rope Singles'!E3,"AAAAAFvd7gs=")</f>
        <v>#VALUE!</v>
      </c>
      <c r="M8" t="e">
        <f>AND('Male Individual Rope Singles'!F3,"AAAAAFvd7gw=")</f>
        <v>#VALUE!</v>
      </c>
      <c r="N8" t="e">
        <f>AND('Male Individual Rope Singles'!G3,"AAAAAFvd7g0=")</f>
        <v>#VALUE!</v>
      </c>
      <c r="O8" t="e">
        <f>AND('Male Individual Rope Singles'!H3,"AAAAAFvd7g4=")</f>
        <v>#VALUE!</v>
      </c>
      <c r="P8" t="e">
        <f>AND('Male Individual Rope Singles'!I3,"AAAAAFvd7g8=")</f>
        <v>#VALUE!</v>
      </c>
      <c r="Q8" t="e">
        <f>AND('Male Individual Rope Singles'!J3,"AAAAAFvd7hA=")</f>
        <v>#VALUE!</v>
      </c>
      <c r="R8" t="e">
        <f>AND('Male Individual Rope Singles'!K3,"AAAAAFvd7hE=")</f>
        <v>#VALUE!</v>
      </c>
      <c r="S8" t="e">
        <f>AND('Male Individual Rope Singles'!L3,"AAAAAFvd7hI=")</f>
        <v>#VALUE!</v>
      </c>
      <c r="T8" t="e">
        <f>AND('Male Individual Rope Singles'!M3,"AAAAAFvd7hM=")</f>
        <v>#VALUE!</v>
      </c>
      <c r="U8">
        <f>IF('Male Individual Rope Singles'!4:4,"AAAAAFvd7hQ=",0)</f>
        <v>0</v>
      </c>
      <c r="V8" t="e">
        <f>AND('Male Individual Rope Singles'!A4,"AAAAAFvd7hU=")</f>
        <v>#VALUE!</v>
      </c>
      <c r="W8" t="e">
        <f>AND('Male Individual Rope Singles'!B4,"AAAAAFvd7hY=")</f>
        <v>#VALUE!</v>
      </c>
      <c r="X8" t="e">
        <f>AND('Male Individual Rope Singles'!C4,"AAAAAFvd7hc=")</f>
        <v>#VALUE!</v>
      </c>
      <c r="Y8" t="e">
        <f>AND('Male Individual Rope Singles'!D4,"AAAAAFvd7hg=")</f>
        <v>#VALUE!</v>
      </c>
      <c r="Z8" t="e">
        <f>AND('Male Individual Rope Singles'!E4,"AAAAAFvd7hk=")</f>
        <v>#VALUE!</v>
      </c>
      <c r="AA8" t="e">
        <f>AND('Male Individual Rope Singles'!F4,"AAAAAFvd7ho=")</f>
        <v>#VALUE!</v>
      </c>
      <c r="AB8" t="e">
        <f>AND('Male Individual Rope Singles'!G4,"AAAAAFvd7hs=")</f>
        <v>#VALUE!</v>
      </c>
      <c r="AC8" t="e">
        <f>AND('Male Individual Rope Singles'!H4,"AAAAAFvd7hw=")</f>
        <v>#VALUE!</v>
      </c>
      <c r="AD8" t="e">
        <f>AND('Male Individual Rope Singles'!I4,"AAAAAFvd7h0=")</f>
        <v>#VALUE!</v>
      </c>
      <c r="AE8" t="e">
        <f>AND('Male Individual Rope Singles'!J4,"AAAAAFvd7h4=")</f>
        <v>#VALUE!</v>
      </c>
      <c r="AF8" t="e">
        <f>AND('Male Individual Rope Singles'!K4,"AAAAAFvd7h8=")</f>
        <v>#VALUE!</v>
      </c>
      <c r="AG8" t="e">
        <f>AND('Male Individual Rope Singles'!L4,"AAAAAFvd7iA=")</f>
        <v>#VALUE!</v>
      </c>
      <c r="AH8" t="e">
        <f>AND('Male Individual Rope Singles'!M4,"AAAAAFvd7iE=")</f>
        <v>#VALUE!</v>
      </c>
      <c r="AI8">
        <f>IF('Male Individual Rope Singles'!5:5,"AAAAAFvd7iI=",0)</f>
        <v>0</v>
      </c>
      <c r="AJ8" t="b">
        <f>AND('Male Individual Rope Singles'!A5,"AAAAAFvd7iM=")</f>
        <v>1</v>
      </c>
      <c r="AK8" t="e">
        <f>AND('Male Individual Rope Singles'!B5,"AAAAAFvd7iQ=")</f>
        <v>#VALUE!</v>
      </c>
      <c r="AL8" t="e">
        <f>AND('Male Individual Rope Singles'!C5,"AAAAAFvd7iU=")</f>
        <v>#VALUE!</v>
      </c>
      <c r="AM8" t="e">
        <f>AND('Male Individual Rope Singles'!D5,"AAAAAFvd7iY=")</f>
        <v>#VALUE!</v>
      </c>
      <c r="AN8" t="e">
        <f>AND('Male Individual Rope Singles'!E5,"AAAAAFvd7ic=")</f>
        <v>#VALUE!</v>
      </c>
      <c r="AO8" t="e">
        <f>AND('Male Individual Rope Singles'!F5,"AAAAAFvd7ig=")</f>
        <v>#VALUE!</v>
      </c>
      <c r="AP8" t="e">
        <f>AND('Male Individual Rope Singles'!G5,"AAAAAFvd7ik=")</f>
        <v>#VALUE!</v>
      </c>
      <c r="AQ8" t="b">
        <f>AND('Male Individual Rope Singles'!H5,"AAAAAFvd7io=")</f>
        <v>1</v>
      </c>
      <c r="AR8" t="e">
        <f>AND('Male Individual Rope Singles'!I5,"AAAAAFvd7is=")</f>
        <v>#VALUE!</v>
      </c>
      <c r="AS8" t="e">
        <f>AND('Male Individual Rope Singles'!J5,"AAAAAFvd7iw=")</f>
        <v>#VALUE!</v>
      </c>
      <c r="AT8" t="e">
        <f>AND('Male Individual Rope Singles'!K5,"AAAAAFvd7i0=")</f>
        <v>#VALUE!</v>
      </c>
      <c r="AU8" t="e">
        <f>AND('Male Individual Rope Singles'!L5,"AAAAAFvd7i4=")</f>
        <v>#VALUE!</v>
      </c>
      <c r="AV8" t="e">
        <f>AND('Male Individual Rope Singles'!M5,"AAAAAFvd7i8=")</f>
        <v>#VALUE!</v>
      </c>
      <c r="AW8">
        <f>IF('Male Individual Rope Singles'!6:6,"AAAAAFvd7jA=",0)</f>
        <v>0</v>
      </c>
      <c r="AX8" t="b">
        <f>AND('Male Individual Rope Singles'!A6,"AAAAAFvd7jE=")</f>
        <v>1</v>
      </c>
      <c r="AY8" t="e">
        <f>AND('Male Individual Rope Singles'!B6,"AAAAAFvd7jI=")</f>
        <v>#VALUE!</v>
      </c>
      <c r="AZ8" t="e">
        <f>AND('Male Individual Rope Singles'!C6,"AAAAAFvd7jM=")</f>
        <v>#VALUE!</v>
      </c>
      <c r="BA8" t="e">
        <f>AND('Male Individual Rope Singles'!D6,"AAAAAFvd7jQ=")</f>
        <v>#VALUE!</v>
      </c>
      <c r="BB8" t="e">
        <f>AND('Male Individual Rope Singles'!E6,"AAAAAFvd7jU=")</f>
        <v>#VALUE!</v>
      </c>
      <c r="BC8" t="e">
        <f>AND('Male Individual Rope Singles'!F6,"AAAAAFvd7jY=")</f>
        <v>#VALUE!</v>
      </c>
      <c r="BD8" t="e">
        <f>AND('Male Individual Rope Singles'!G6,"AAAAAFvd7jc=")</f>
        <v>#VALUE!</v>
      </c>
      <c r="BE8" t="b">
        <f>AND('Male Individual Rope Singles'!H6,"AAAAAFvd7jg=")</f>
        <v>1</v>
      </c>
      <c r="BF8" t="e">
        <f>AND('Male Individual Rope Singles'!I6,"AAAAAFvd7jk=")</f>
        <v>#VALUE!</v>
      </c>
      <c r="BG8" t="e">
        <f>AND('Male Individual Rope Singles'!J6,"AAAAAFvd7jo=")</f>
        <v>#VALUE!</v>
      </c>
      <c r="BH8" t="e">
        <f>AND('Male Individual Rope Singles'!K6,"AAAAAFvd7js=")</f>
        <v>#VALUE!</v>
      </c>
      <c r="BI8" t="e">
        <f>AND('Male Individual Rope Singles'!L6,"AAAAAFvd7jw=")</f>
        <v>#VALUE!</v>
      </c>
      <c r="BJ8" t="e">
        <f>AND('Male Individual Rope Singles'!M6,"AAAAAFvd7j0=")</f>
        <v>#VALUE!</v>
      </c>
      <c r="BK8">
        <f>IF('Male Individual Rope Singles'!7:7,"AAAAAFvd7j4=",0)</f>
        <v>0</v>
      </c>
      <c r="BL8" t="b">
        <f>AND('Male Individual Rope Singles'!A7,"AAAAAFvd7j8=")</f>
        <v>1</v>
      </c>
      <c r="BM8" t="e">
        <f>AND('Male Individual Rope Singles'!B7,"AAAAAFvd7kA=")</f>
        <v>#VALUE!</v>
      </c>
      <c r="BN8" t="e">
        <f>AND('Male Individual Rope Singles'!C7,"AAAAAFvd7kE=")</f>
        <v>#VALUE!</v>
      </c>
      <c r="BO8" t="e">
        <f>AND('Male Individual Rope Singles'!D7,"AAAAAFvd7kI=")</f>
        <v>#VALUE!</v>
      </c>
      <c r="BP8" t="e">
        <f>AND('Male Individual Rope Singles'!E7,"AAAAAFvd7kM=")</f>
        <v>#VALUE!</v>
      </c>
      <c r="BQ8" t="e">
        <f>AND('Male Individual Rope Singles'!F7,"AAAAAFvd7kQ=")</f>
        <v>#VALUE!</v>
      </c>
      <c r="BR8" t="e">
        <f>AND('Male Individual Rope Singles'!G7,"AAAAAFvd7kU=")</f>
        <v>#VALUE!</v>
      </c>
      <c r="BS8" t="b">
        <f>AND('Male Individual Rope Singles'!H7,"AAAAAFvd7kY=")</f>
        <v>1</v>
      </c>
      <c r="BT8" t="e">
        <f>AND('Male Individual Rope Singles'!I7,"AAAAAFvd7kc=")</f>
        <v>#VALUE!</v>
      </c>
      <c r="BU8" t="e">
        <f>AND('Male Individual Rope Singles'!J7,"AAAAAFvd7kg=")</f>
        <v>#VALUE!</v>
      </c>
      <c r="BV8" t="e">
        <f>AND('Male Individual Rope Singles'!K7,"AAAAAFvd7kk=")</f>
        <v>#VALUE!</v>
      </c>
      <c r="BW8" t="e">
        <f>AND('Male Individual Rope Singles'!L7,"AAAAAFvd7ko=")</f>
        <v>#VALUE!</v>
      </c>
      <c r="BX8" t="e">
        <f>AND('Male Individual Rope Singles'!M7,"AAAAAFvd7ks=")</f>
        <v>#VALUE!</v>
      </c>
      <c r="BY8">
        <f>IF('Male Individual Rope Singles'!8:8,"AAAAAFvd7kw=",0)</f>
        <v>0</v>
      </c>
      <c r="BZ8" t="b">
        <f>AND('Male Individual Rope Singles'!A8,"AAAAAFvd7k0=")</f>
        <v>1</v>
      </c>
      <c r="CA8" t="e">
        <f>AND('Male Individual Rope Singles'!B8,"AAAAAFvd7k4=")</f>
        <v>#VALUE!</v>
      </c>
      <c r="CB8" t="e">
        <f>AND('Male Individual Rope Singles'!C8,"AAAAAFvd7k8=")</f>
        <v>#VALUE!</v>
      </c>
      <c r="CC8" t="e">
        <f>AND('Male Individual Rope Singles'!D8,"AAAAAFvd7lA=")</f>
        <v>#VALUE!</v>
      </c>
      <c r="CD8" t="e">
        <f>AND('Male Individual Rope Singles'!E8,"AAAAAFvd7lE=")</f>
        <v>#VALUE!</v>
      </c>
      <c r="CE8" t="e">
        <f>AND('Male Individual Rope Singles'!F8,"AAAAAFvd7lI=")</f>
        <v>#VALUE!</v>
      </c>
      <c r="CF8" t="e">
        <f>AND('Male Individual Rope Singles'!G8,"AAAAAFvd7lM=")</f>
        <v>#VALUE!</v>
      </c>
      <c r="CG8" t="b">
        <f>AND('Male Individual Rope Singles'!H8,"AAAAAFvd7lQ=")</f>
        <v>1</v>
      </c>
      <c r="CH8" t="e">
        <f>AND('Male Individual Rope Singles'!I8,"AAAAAFvd7lU=")</f>
        <v>#VALUE!</v>
      </c>
      <c r="CI8" t="e">
        <f>AND('Male Individual Rope Singles'!J8,"AAAAAFvd7lY=")</f>
        <v>#VALUE!</v>
      </c>
      <c r="CJ8" t="e">
        <f>AND('Male Individual Rope Singles'!K8,"AAAAAFvd7lc=")</f>
        <v>#VALUE!</v>
      </c>
      <c r="CK8" t="e">
        <f>AND('Male Individual Rope Singles'!L8,"AAAAAFvd7lg=")</f>
        <v>#VALUE!</v>
      </c>
      <c r="CL8" t="e">
        <f>AND('Male Individual Rope Singles'!M8,"AAAAAFvd7lk=")</f>
        <v>#VALUE!</v>
      </c>
      <c r="CM8">
        <f>IF('Male Individual Rope Singles'!9:9,"AAAAAFvd7lo=",0)</f>
        <v>0</v>
      </c>
      <c r="CN8" t="b">
        <f>AND('Male Individual Rope Singles'!A9,"AAAAAFvd7ls=")</f>
        <v>1</v>
      </c>
      <c r="CO8" t="e">
        <f>AND('Male Individual Rope Singles'!B9,"AAAAAFvd7lw=")</f>
        <v>#VALUE!</v>
      </c>
      <c r="CP8" t="e">
        <f>AND('Male Individual Rope Singles'!C9,"AAAAAFvd7l0=")</f>
        <v>#VALUE!</v>
      </c>
      <c r="CQ8" t="e">
        <f>AND('Male Individual Rope Singles'!D9,"AAAAAFvd7l4=")</f>
        <v>#VALUE!</v>
      </c>
      <c r="CR8" t="e">
        <f>AND('Male Individual Rope Singles'!E9,"AAAAAFvd7l8=")</f>
        <v>#VALUE!</v>
      </c>
      <c r="CS8" t="e">
        <f>AND('Male Individual Rope Singles'!F9,"AAAAAFvd7mA=")</f>
        <v>#VALUE!</v>
      </c>
      <c r="CT8" t="e">
        <f>AND('Male Individual Rope Singles'!G9,"AAAAAFvd7mE=")</f>
        <v>#VALUE!</v>
      </c>
      <c r="CU8" t="b">
        <f>AND('Male Individual Rope Singles'!H9,"AAAAAFvd7mI=")</f>
        <v>1</v>
      </c>
      <c r="CV8" t="e">
        <f>AND('Male Individual Rope Singles'!I9,"AAAAAFvd7mM=")</f>
        <v>#VALUE!</v>
      </c>
      <c r="CW8" t="e">
        <f>AND('Male Individual Rope Singles'!J9,"AAAAAFvd7mQ=")</f>
        <v>#VALUE!</v>
      </c>
      <c r="CX8" t="e">
        <f>AND('Male Individual Rope Singles'!K9,"AAAAAFvd7mU=")</f>
        <v>#VALUE!</v>
      </c>
      <c r="CY8" t="e">
        <f>AND('Male Individual Rope Singles'!L9,"AAAAAFvd7mY=")</f>
        <v>#VALUE!</v>
      </c>
      <c r="CZ8" t="e">
        <f>AND('Male Individual Rope Singles'!M9,"AAAAAFvd7mc=")</f>
        <v>#VALUE!</v>
      </c>
      <c r="DA8">
        <f>IF('Male Individual Rope Singles'!10:10,"AAAAAFvd7mg=",0)</f>
        <v>0</v>
      </c>
      <c r="DB8" t="b">
        <f>AND('Male Individual Rope Singles'!A10,"AAAAAFvd7mk=")</f>
        <v>1</v>
      </c>
      <c r="DC8" t="e">
        <f>AND('Male Individual Rope Singles'!B10,"AAAAAFvd7mo=")</f>
        <v>#VALUE!</v>
      </c>
      <c r="DD8" t="e">
        <f>AND('Male Individual Rope Singles'!C10,"AAAAAFvd7ms=")</f>
        <v>#VALUE!</v>
      </c>
      <c r="DE8" t="e">
        <f>AND('Male Individual Rope Singles'!D10,"AAAAAFvd7mw=")</f>
        <v>#VALUE!</v>
      </c>
      <c r="DF8" t="e">
        <f>AND('Male Individual Rope Singles'!E10,"AAAAAFvd7m0=")</f>
        <v>#VALUE!</v>
      </c>
      <c r="DG8" t="e">
        <f>AND('Male Individual Rope Singles'!F10,"AAAAAFvd7m4=")</f>
        <v>#VALUE!</v>
      </c>
      <c r="DH8" t="e">
        <f>AND('Male Individual Rope Singles'!G10,"AAAAAFvd7m8=")</f>
        <v>#VALUE!</v>
      </c>
      <c r="DI8" t="b">
        <f>AND('Male Individual Rope Singles'!H10,"AAAAAFvd7nA=")</f>
        <v>1</v>
      </c>
      <c r="DJ8" t="e">
        <f>AND('Male Individual Rope Singles'!I10,"AAAAAFvd7nE=")</f>
        <v>#VALUE!</v>
      </c>
      <c r="DK8" t="e">
        <f>AND('Male Individual Rope Singles'!J10,"AAAAAFvd7nI=")</f>
        <v>#VALUE!</v>
      </c>
      <c r="DL8" t="e">
        <f>AND('Male Individual Rope Singles'!K10,"AAAAAFvd7nM=")</f>
        <v>#VALUE!</v>
      </c>
      <c r="DM8" t="e">
        <f>AND('Male Individual Rope Singles'!L10,"AAAAAFvd7nQ=")</f>
        <v>#VALUE!</v>
      </c>
      <c r="DN8" t="e">
        <f>AND('Male Individual Rope Singles'!M10,"AAAAAFvd7nU=")</f>
        <v>#VALUE!</v>
      </c>
      <c r="DO8">
        <f>IF('Male Individual Rope Singles'!11:11,"AAAAAFvd7nY=",0)</f>
        <v>0</v>
      </c>
      <c r="DP8" t="b">
        <f>AND('Male Individual Rope Singles'!A11,"AAAAAFvd7nc=")</f>
        <v>1</v>
      </c>
      <c r="DQ8" t="e">
        <f>AND('Male Individual Rope Singles'!B11,"AAAAAFvd7ng=")</f>
        <v>#VALUE!</v>
      </c>
      <c r="DR8" t="e">
        <f>AND('Male Individual Rope Singles'!C11,"AAAAAFvd7nk=")</f>
        <v>#VALUE!</v>
      </c>
      <c r="DS8" t="e">
        <f>AND('Male Individual Rope Singles'!D11,"AAAAAFvd7no=")</f>
        <v>#VALUE!</v>
      </c>
      <c r="DT8" t="e">
        <f>AND('Male Individual Rope Singles'!E11,"AAAAAFvd7ns=")</f>
        <v>#VALUE!</v>
      </c>
      <c r="DU8" t="e">
        <f>AND('Male Individual Rope Singles'!F11,"AAAAAFvd7nw=")</f>
        <v>#VALUE!</v>
      </c>
      <c r="DV8" t="e">
        <f>AND('Male Individual Rope Singles'!G11,"AAAAAFvd7n0=")</f>
        <v>#VALUE!</v>
      </c>
      <c r="DW8" t="b">
        <f>AND('Male Individual Rope Singles'!H11,"AAAAAFvd7n4=")</f>
        <v>1</v>
      </c>
      <c r="DX8" t="e">
        <f>AND('Male Individual Rope Singles'!I11,"AAAAAFvd7n8=")</f>
        <v>#VALUE!</v>
      </c>
      <c r="DY8" t="e">
        <f>AND('Male Individual Rope Singles'!J11,"AAAAAFvd7oA=")</f>
        <v>#VALUE!</v>
      </c>
      <c r="DZ8" t="e">
        <f>AND('Male Individual Rope Singles'!K11,"AAAAAFvd7oE=")</f>
        <v>#VALUE!</v>
      </c>
      <c r="EA8" t="e">
        <f>AND('Male Individual Rope Singles'!L11,"AAAAAFvd7oI=")</f>
        <v>#VALUE!</v>
      </c>
      <c r="EB8" t="e">
        <f>AND('Male Individual Rope Singles'!M11,"AAAAAFvd7oM=")</f>
        <v>#VALUE!</v>
      </c>
      <c r="EC8">
        <f>IF('Male Individual Rope Singles'!12:12,"AAAAAFvd7oQ=",0)</f>
        <v>0</v>
      </c>
      <c r="ED8" t="b">
        <f>AND('Male Individual Rope Singles'!A12,"AAAAAFvd7oU=")</f>
        <v>1</v>
      </c>
      <c r="EE8" t="e">
        <f>AND('Male Individual Rope Singles'!B12,"AAAAAFvd7oY=")</f>
        <v>#VALUE!</v>
      </c>
      <c r="EF8" t="e">
        <f>AND('Male Individual Rope Singles'!C12,"AAAAAFvd7oc=")</f>
        <v>#VALUE!</v>
      </c>
      <c r="EG8" t="e">
        <f>AND('Male Individual Rope Singles'!D12,"AAAAAFvd7og=")</f>
        <v>#VALUE!</v>
      </c>
      <c r="EH8" t="e">
        <f>AND('Male Individual Rope Singles'!E12,"AAAAAFvd7ok=")</f>
        <v>#VALUE!</v>
      </c>
      <c r="EI8" t="e">
        <f>AND('Male Individual Rope Singles'!F12,"AAAAAFvd7oo=")</f>
        <v>#VALUE!</v>
      </c>
      <c r="EJ8" t="e">
        <f>AND('Male Individual Rope Singles'!G12,"AAAAAFvd7os=")</f>
        <v>#VALUE!</v>
      </c>
      <c r="EK8" t="b">
        <f>AND('Male Individual Rope Singles'!H12,"AAAAAFvd7ow=")</f>
        <v>1</v>
      </c>
      <c r="EL8" t="e">
        <f>AND('Male Individual Rope Singles'!I12,"AAAAAFvd7o0=")</f>
        <v>#VALUE!</v>
      </c>
      <c r="EM8" t="e">
        <f>AND('Male Individual Rope Singles'!J12,"AAAAAFvd7o4=")</f>
        <v>#VALUE!</v>
      </c>
      <c r="EN8" t="e">
        <f>AND('Male Individual Rope Singles'!K12,"AAAAAFvd7o8=")</f>
        <v>#VALUE!</v>
      </c>
      <c r="EO8" t="e">
        <f>AND('Male Individual Rope Singles'!L12,"AAAAAFvd7pA=")</f>
        <v>#VALUE!</v>
      </c>
      <c r="EP8" t="e">
        <f>AND('Male Individual Rope Singles'!M12,"AAAAAFvd7pE=")</f>
        <v>#VALUE!</v>
      </c>
      <c r="EQ8">
        <f>IF('Male Individual Rope Singles'!13:13,"AAAAAFvd7pI=",0)</f>
        <v>0</v>
      </c>
      <c r="ER8" t="e">
        <f>AND('Male Individual Rope Singles'!A13,"AAAAAFvd7pM=")</f>
        <v>#VALUE!</v>
      </c>
      <c r="ES8" t="e">
        <f>AND('Male Individual Rope Singles'!B13,"AAAAAFvd7pQ=")</f>
        <v>#VALUE!</v>
      </c>
      <c r="ET8" t="e">
        <f>AND('Male Individual Rope Singles'!C13,"AAAAAFvd7pU=")</f>
        <v>#VALUE!</v>
      </c>
      <c r="EU8" t="e">
        <f>AND('Male Individual Rope Singles'!D13,"AAAAAFvd7pY=")</f>
        <v>#VALUE!</v>
      </c>
      <c r="EV8" t="e">
        <f>AND('Male Individual Rope Singles'!E13,"AAAAAFvd7pc=")</f>
        <v>#VALUE!</v>
      </c>
      <c r="EW8" t="e">
        <f>AND('Male Individual Rope Singles'!F13,"AAAAAFvd7pg=")</f>
        <v>#VALUE!</v>
      </c>
      <c r="EX8" t="e">
        <f>AND('Male Individual Rope Singles'!G13,"AAAAAFvd7pk=")</f>
        <v>#VALUE!</v>
      </c>
      <c r="EY8" t="e">
        <f>AND('Male Individual Rope Singles'!H13,"AAAAAFvd7po=")</f>
        <v>#VALUE!</v>
      </c>
      <c r="EZ8" t="e">
        <f>AND('Male Individual Rope Singles'!I13,"AAAAAFvd7ps=")</f>
        <v>#VALUE!</v>
      </c>
      <c r="FA8" t="e">
        <f>AND('Male Individual Rope Singles'!J13,"AAAAAFvd7pw=")</f>
        <v>#VALUE!</v>
      </c>
      <c r="FB8" t="e">
        <f>AND('Male Individual Rope Singles'!K13,"AAAAAFvd7p0=")</f>
        <v>#VALUE!</v>
      </c>
      <c r="FC8" t="e">
        <f>AND('Male Individual Rope Singles'!L13,"AAAAAFvd7p4=")</f>
        <v>#VALUE!</v>
      </c>
      <c r="FD8" t="e">
        <f>AND('Male Individual Rope Singles'!M13,"AAAAAFvd7p8=")</f>
        <v>#VALUE!</v>
      </c>
      <c r="FE8">
        <f>IF('Male Individual Rope Singles'!14:14,"AAAAAFvd7qA=",0)</f>
        <v>0</v>
      </c>
      <c r="FF8" t="e">
        <f>AND('Male Individual Rope Singles'!A14,"AAAAAFvd7qE=")</f>
        <v>#VALUE!</v>
      </c>
      <c r="FG8" t="e">
        <f>AND('Male Individual Rope Singles'!B14,"AAAAAFvd7qI=")</f>
        <v>#VALUE!</v>
      </c>
      <c r="FH8" t="e">
        <f>AND('Male Individual Rope Singles'!C14,"AAAAAFvd7qM=")</f>
        <v>#VALUE!</v>
      </c>
      <c r="FI8" t="e">
        <f>AND('Male Individual Rope Singles'!D14,"AAAAAFvd7qQ=")</f>
        <v>#VALUE!</v>
      </c>
      <c r="FJ8" t="e">
        <f>AND('Male Individual Rope Singles'!E14,"AAAAAFvd7qU=")</f>
        <v>#VALUE!</v>
      </c>
      <c r="FK8" t="e">
        <f>AND('Male Individual Rope Singles'!F14,"AAAAAFvd7qY=")</f>
        <v>#VALUE!</v>
      </c>
      <c r="FL8" t="e">
        <f>AND('Male Individual Rope Singles'!G14,"AAAAAFvd7qc=")</f>
        <v>#VALUE!</v>
      </c>
      <c r="FM8" t="e">
        <f>AND('Male Individual Rope Singles'!H14,"AAAAAFvd7qg=")</f>
        <v>#VALUE!</v>
      </c>
      <c r="FN8" t="e">
        <f>AND('Male Individual Rope Singles'!I14,"AAAAAFvd7qk=")</f>
        <v>#VALUE!</v>
      </c>
      <c r="FO8" t="e">
        <f>AND('Male Individual Rope Singles'!J14,"AAAAAFvd7qo=")</f>
        <v>#VALUE!</v>
      </c>
      <c r="FP8" t="e">
        <f>AND('Male Individual Rope Singles'!K14,"AAAAAFvd7qs=")</f>
        <v>#VALUE!</v>
      </c>
      <c r="FQ8" t="e">
        <f>AND('Male Individual Rope Singles'!L14,"AAAAAFvd7qw=")</f>
        <v>#VALUE!</v>
      </c>
      <c r="FR8" t="e">
        <f>AND('Male Individual Rope Singles'!M14,"AAAAAFvd7q0=")</f>
        <v>#VALUE!</v>
      </c>
      <c r="FS8">
        <f>IF('Male Individual Rope Singles'!15:15,"AAAAAFvd7q4=",0)</f>
        <v>0</v>
      </c>
      <c r="FT8" t="b">
        <f>AND('Male Individual Rope Singles'!A15,"AAAAAFvd7q8=")</f>
        <v>1</v>
      </c>
      <c r="FU8" t="e">
        <f>AND('Male Individual Rope Singles'!B15,"AAAAAFvd7rA=")</f>
        <v>#VALUE!</v>
      </c>
      <c r="FV8" t="e">
        <f>AND('Male Individual Rope Singles'!C15,"AAAAAFvd7rE=")</f>
        <v>#VALUE!</v>
      </c>
      <c r="FW8" t="e">
        <f>AND('Male Individual Rope Singles'!D15,"AAAAAFvd7rI=")</f>
        <v>#VALUE!</v>
      </c>
      <c r="FX8" t="e">
        <f>AND('Male Individual Rope Singles'!E15,"AAAAAFvd7rM=")</f>
        <v>#VALUE!</v>
      </c>
      <c r="FY8" t="e">
        <f>AND('Male Individual Rope Singles'!F15,"AAAAAFvd7rQ=")</f>
        <v>#VALUE!</v>
      </c>
      <c r="FZ8" t="e">
        <f>AND('Male Individual Rope Singles'!G15,"AAAAAFvd7rU=")</f>
        <v>#VALUE!</v>
      </c>
      <c r="GA8" t="b">
        <f>AND('Male Individual Rope Singles'!H15,"AAAAAFvd7rY=")</f>
        <v>1</v>
      </c>
      <c r="GB8" t="e">
        <f>AND('Male Individual Rope Singles'!I15,"AAAAAFvd7rc=")</f>
        <v>#VALUE!</v>
      </c>
      <c r="GC8" t="e">
        <f>AND('Male Individual Rope Singles'!J15,"AAAAAFvd7rg=")</f>
        <v>#VALUE!</v>
      </c>
      <c r="GD8" t="e">
        <f>AND('Male Individual Rope Singles'!K15,"AAAAAFvd7rk=")</f>
        <v>#VALUE!</v>
      </c>
      <c r="GE8" t="e">
        <f>AND('Male Individual Rope Singles'!L15,"AAAAAFvd7ro=")</f>
        <v>#VALUE!</v>
      </c>
      <c r="GF8" t="e">
        <f>AND('Male Individual Rope Singles'!M15,"AAAAAFvd7rs=")</f>
        <v>#VALUE!</v>
      </c>
      <c r="GG8">
        <f>IF('Male Individual Rope Singles'!16:16,"AAAAAFvd7rw=",0)</f>
        <v>0</v>
      </c>
      <c r="GH8" t="b">
        <f>AND('Male Individual Rope Singles'!A16,"AAAAAFvd7r0=")</f>
        <v>1</v>
      </c>
      <c r="GI8" t="e">
        <f>AND('Male Individual Rope Singles'!B16,"AAAAAFvd7r4=")</f>
        <v>#VALUE!</v>
      </c>
      <c r="GJ8" t="e">
        <f>AND('Male Individual Rope Singles'!C16,"AAAAAFvd7r8=")</f>
        <v>#VALUE!</v>
      </c>
      <c r="GK8" t="e">
        <f>AND('Male Individual Rope Singles'!D16,"AAAAAFvd7sA=")</f>
        <v>#VALUE!</v>
      </c>
      <c r="GL8" t="e">
        <f>AND('Male Individual Rope Singles'!E16,"AAAAAFvd7sE=")</f>
        <v>#VALUE!</v>
      </c>
      <c r="GM8" t="e">
        <f>AND('Male Individual Rope Singles'!F16,"AAAAAFvd7sI=")</f>
        <v>#VALUE!</v>
      </c>
      <c r="GN8" t="e">
        <f>AND('Male Individual Rope Singles'!G16,"AAAAAFvd7sM=")</f>
        <v>#VALUE!</v>
      </c>
      <c r="GO8" t="b">
        <f>AND('Male Individual Rope Singles'!H16,"AAAAAFvd7sQ=")</f>
        <v>1</v>
      </c>
      <c r="GP8" t="e">
        <f>AND('Male Individual Rope Singles'!I16,"AAAAAFvd7sU=")</f>
        <v>#VALUE!</v>
      </c>
      <c r="GQ8" t="e">
        <f>AND('Male Individual Rope Singles'!J16,"AAAAAFvd7sY=")</f>
        <v>#VALUE!</v>
      </c>
      <c r="GR8" t="e">
        <f>AND('Male Individual Rope Singles'!K16,"AAAAAFvd7sc=")</f>
        <v>#VALUE!</v>
      </c>
      <c r="GS8" t="e">
        <f>AND('Male Individual Rope Singles'!L16,"AAAAAFvd7sg=")</f>
        <v>#VALUE!</v>
      </c>
      <c r="GT8" t="e">
        <f>AND('Male Individual Rope Singles'!M16,"AAAAAFvd7sk=")</f>
        <v>#VALUE!</v>
      </c>
      <c r="GU8">
        <f>IF('Male Individual Rope Singles'!17:17,"AAAAAFvd7so=",0)</f>
        <v>0</v>
      </c>
      <c r="GV8" t="b">
        <f>AND('Male Individual Rope Singles'!A17,"AAAAAFvd7ss=")</f>
        <v>1</v>
      </c>
      <c r="GW8" t="e">
        <f>AND('Male Individual Rope Singles'!B17,"AAAAAFvd7sw=")</f>
        <v>#VALUE!</v>
      </c>
      <c r="GX8" t="e">
        <f>AND('Male Individual Rope Singles'!C17,"AAAAAFvd7s0=")</f>
        <v>#VALUE!</v>
      </c>
      <c r="GY8" t="e">
        <f>AND('Male Individual Rope Singles'!D17,"AAAAAFvd7s4=")</f>
        <v>#VALUE!</v>
      </c>
      <c r="GZ8" t="e">
        <f>AND('Male Individual Rope Singles'!E17,"AAAAAFvd7s8=")</f>
        <v>#VALUE!</v>
      </c>
      <c r="HA8" t="e">
        <f>AND('Male Individual Rope Singles'!F17,"AAAAAFvd7tA=")</f>
        <v>#VALUE!</v>
      </c>
      <c r="HB8" t="e">
        <f>AND('Male Individual Rope Singles'!G17,"AAAAAFvd7tE=")</f>
        <v>#VALUE!</v>
      </c>
      <c r="HC8" t="b">
        <f>AND('Male Individual Rope Singles'!H17,"AAAAAFvd7tI=")</f>
        <v>1</v>
      </c>
      <c r="HD8" t="e">
        <f>AND('Male Individual Rope Singles'!I17,"AAAAAFvd7tM=")</f>
        <v>#VALUE!</v>
      </c>
      <c r="HE8" t="e">
        <f>AND('Male Individual Rope Singles'!J17,"AAAAAFvd7tQ=")</f>
        <v>#VALUE!</v>
      </c>
      <c r="HF8" t="e">
        <f>AND('Male Individual Rope Singles'!K17,"AAAAAFvd7tU=")</f>
        <v>#VALUE!</v>
      </c>
      <c r="HG8" t="e">
        <f>AND('Male Individual Rope Singles'!L17,"AAAAAFvd7tY=")</f>
        <v>#VALUE!</v>
      </c>
      <c r="HH8" t="e">
        <f>AND('Male Individual Rope Singles'!M17,"AAAAAFvd7tc=")</f>
        <v>#VALUE!</v>
      </c>
      <c r="HI8">
        <f>IF('Male Individual Rope Singles'!18:18,"AAAAAFvd7tg=",0)</f>
        <v>0</v>
      </c>
      <c r="HJ8" t="b">
        <f>AND('Male Individual Rope Singles'!A18,"AAAAAFvd7tk=")</f>
        <v>1</v>
      </c>
      <c r="HK8" t="e">
        <f>AND('Male Individual Rope Singles'!B18,"AAAAAFvd7to=")</f>
        <v>#VALUE!</v>
      </c>
      <c r="HL8" t="e">
        <f>AND('Male Individual Rope Singles'!C18,"AAAAAFvd7ts=")</f>
        <v>#VALUE!</v>
      </c>
      <c r="HM8" t="e">
        <f>AND('Male Individual Rope Singles'!D18,"AAAAAFvd7tw=")</f>
        <v>#VALUE!</v>
      </c>
      <c r="HN8" t="e">
        <f>AND('Male Individual Rope Singles'!E18,"AAAAAFvd7t0=")</f>
        <v>#VALUE!</v>
      </c>
      <c r="HO8" t="e">
        <f>AND('Male Individual Rope Singles'!F18,"AAAAAFvd7t4=")</f>
        <v>#VALUE!</v>
      </c>
      <c r="HP8" t="e">
        <f>AND('Male Individual Rope Singles'!G18,"AAAAAFvd7t8=")</f>
        <v>#VALUE!</v>
      </c>
      <c r="HQ8" t="b">
        <f>AND('Male Individual Rope Singles'!H18,"AAAAAFvd7uA=")</f>
        <v>1</v>
      </c>
      <c r="HR8" t="e">
        <f>AND('Male Individual Rope Singles'!I18,"AAAAAFvd7uE=")</f>
        <v>#VALUE!</v>
      </c>
      <c r="HS8" t="e">
        <f>AND('Male Individual Rope Singles'!J18,"AAAAAFvd7uI=")</f>
        <v>#VALUE!</v>
      </c>
      <c r="HT8" t="e">
        <f>AND('Male Individual Rope Singles'!K18,"AAAAAFvd7uM=")</f>
        <v>#VALUE!</v>
      </c>
      <c r="HU8" t="e">
        <f>AND('Male Individual Rope Singles'!L18,"AAAAAFvd7uQ=")</f>
        <v>#VALUE!</v>
      </c>
      <c r="HV8" t="e">
        <f>AND('Male Individual Rope Singles'!M18,"AAAAAFvd7uU=")</f>
        <v>#VALUE!</v>
      </c>
      <c r="HW8">
        <f>IF('Male Individual Rope Singles'!19:19,"AAAAAFvd7uY=",0)</f>
        <v>0</v>
      </c>
      <c r="HX8" t="b">
        <f>AND('Male Individual Rope Singles'!A19,"AAAAAFvd7uc=")</f>
        <v>1</v>
      </c>
      <c r="HY8" t="e">
        <f>AND('Male Individual Rope Singles'!B19,"AAAAAFvd7ug=")</f>
        <v>#VALUE!</v>
      </c>
      <c r="HZ8" t="e">
        <f>AND('Male Individual Rope Singles'!C19,"AAAAAFvd7uk=")</f>
        <v>#VALUE!</v>
      </c>
      <c r="IA8" t="e">
        <f>AND('Male Individual Rope Singles'!D19,"AAAAAFvd7uo=")</f>
        <v>#VALUE!</v>
      </c>
      <c r="IB8" t="e">
        <f>AND('Male Individual Rope Singles'!E19,"AAAAAFvd7us=")</f>
        <v>#VALUE!</v>
      </c>
      <c r="IC8" t="e">
        <f>AND('Male Individual Rope Singles'!F19,"AAAAAFvd7uw=")</f>
        <v>#VALUE!</v>
      </c>
      <c r="ID8" t="e">
        <f>AND('Male Individual Rope Singles'!G19,"AAAAAFvd7u0=")</f>
        <v>#VALUE!</v>
      </c>
      <c r="IE8" t="b">
        <f>AND('Male Individual Rope Singles'!H19,"AAAAAFvd7u4=")</f>
        <v>1</v>
      </c>
      <c r="IF8" t="e">
        <f>AND('Male Individual Rope Singles'!I19,"AAAAAFvd7u8=")</f>
        <v>#VALUE!</v>
      </c>
      <c r="IG8" t="e">
        <f>AND('Male Individual Rope Singles'!J19,"AAAAAFvd7vA=")</f>
        <v>#VALUE!</v>
      </c>
      <c r="IH8" t="e">
        <f>AND('Male Individual Rope Singles'!K19,"AAAAAFvd7vE=")</f>
        <v>#VALUE!</v>
      </c>
      <c r="II8" t="e">
        <f>AND('Male Individual Rope Singles'!L19,"AAAAAFvd7vI=")</f>
        <v>#VALUE!</v>
      </c>
      <c r="IJ8" t="e">
        <f>AND('Male Individual Rope Singles'!M19,"AAAAAFvd7vM=")</f>
        <v>#VALUE!</v>
      </c>
      <c r="IK8">
        <f>IF('Male Individual Rope Singles'!20:20,"AAAAAFvd7vQ=",0)</f>
        <v>0</v>
      </c>
      <c r="IL8" t="b">
        <f>AND('Male Individual Rope Singles'!A20,"AAAAAFvd7vU=")</f>
        <v>1</v>
      </c>
      <c r="IM8" t="e">
        <f>AND('Male Individual Rope Singles'!B20,"AAAAAFvd7vY=")</f>
        <v>#VALUE!</v>
      </c>
      <c r="IN8" t="e">
        <f>AND('Male Individual Rope Singles'!C20,"AAAAAFvd7vc=")</f>
        <v>#VALUE!</v>
      </c>
      <c r="IO8" t="e">
        <f>AND('Male Individual Rope Singles'!D20,"AAAAAFvd7vg=")</f>
        <v>#VALUE!</v>
      </c>
      <c r="IP8" t="e">
        <f>AND('Male Individual Rope Singles'!E20,"AAAAAFvd7vk=")</f>
        <v>#VALUE!</v>
      </c>
      <c r="IQ8" t="e">
        <f>AND('Male Individual Rope Singles'!F20,"AAAAAFvd7vo=")</f>
        <v>#VALUE!</v>
      </c>
      <c r="IR8" t="e">
        <f>AND('Male Individual Rope Singles'!G20,"AAAAAFvd7vs=")</f>
        <v>#VALUE!</v>
      </c>
      <c r="IS8" t="b">
        <f>AND('Male Individual Rope Singles'!H20,"AAAAAFvd7vw=")</f>
        <v>1</v>
      </c>
      <c r="IT8" t="e">
        <f>AND('Male Individual Rope Singles'!I20,"AAAAAFvd7v0=")</f>
        <v>#VALUE!</v>
      </c>
      <c r="IU8" t="e">
        <f>AND('Male Individual Rope Singles'!J20,"AAAAAFvd7v4=")</f>
        <v>#VALUE!</v>
      </c>
      <c r="IV8" t="e">
        <f>AND('Male Individual Rope Singles'!K20,"AAAAAFvd7v8=")</f>
        <v>#VALUE!</v>
      </c>
    </row>
    <row r="9" spans="1:256" x14ac:dyDescent="0.25">
      <c r="A9" t="e">
        <f>AND('Male Individual Rope Singles'!L20,"AAAAADXddwA=")</f>
        <v>#VALUE!</v>
      </c>
      <c r="B9" t="e">
        <f>AND('Male Individual Rope Singles'!M20,"AAAAADXddwE=")</f>
        <v>#VALUE!</v>
      </c>
      <c r="C9" t="e">
        <f>IF('Male Individual Rope Singles'!21:21,"AAAAADXddwI=",0)</f>
        <v>#VALUE!</v>
      </c>
      <c r="D9" t="b">
        <f>AND('Male Individual Rope Singles'!A21,"AAAAADXddwM=")</f>
        <v>1</v>
      </c>
      <c r="E9" t="e">
        <f>AND('Male Individual Rope Singles'!B21,"AAAAADXddwQ=")</f>
        <v>#VALUE!</v>
      </c>
      <c r="F9" t="e">
        <f>AND('Male Individual Rope Singles'!C21,"AAAAADXddwU=")</f>
        <v>#VALUE!</v>
      </c>
      <c r="G9" t="e">
        <f>AND('Male Individual Rope Singles'!D21,"AAAAADXddwY=")</f>
        <v>#VALUE!</v>
      </c>
      <c r="H9" t="e">
        <f>AND('Male Individual Rope Singles'!E21,"AAAAADXddwc=")</f>
        <v>#VALUE!</v>
      </c>
      <c r="I9" t="e">
        <f>AND('Male Individual Rope Singles'!F21,"AAAAADXddwg=")</f>
        <v>#VALUE!</v>
      </c>
      <c r="J9" t="e">
        <f>AND('Male Individual Rope Singles'!G21,"AAAAADXddwk=")</f>
        <v>#VALUE!</v>
      </c>
      <c r="K9" t="b">
        <f>AND('Male Individual Rope Singles'!H21,"AAAAADXddwo=")</f>
        <v>1</v>
      </c>
      <c r="L9" t="e">
        <f>AND('Male Individual Rope Singles'!I21,"AAAAADXddws=")</f>
        <v>#VALUE!</v>
      </c>
      <c r="M9" t="e">
        <f>AND('Male Individual Rope Singles'!J21,"AAAAADXddww=")</f>
        <v>#VALUE!</v>
      </c>
      <c r="N9" t="e">
        <f>AND('Male Individual Rope Singles'!K21,"AAAAADXddw0=")</f>
        <v>#VALUE!</v>
      </c>
      <c r="O9" t="e">
        <f>AND('Male Individual Rope Singles'!L21,"AAAAADXddw4=")</f>
        <v>#VALUE!</v>
      </c>
      <c r="P9" t="e">
        <f>AND('Male Individual Rope Singles'!M21,"AAAAADXddw8=")</f>
        <v>#VALUE!</v>
      </c>
      <c r="Q9">
        <f>IF('Male Individual Rope Singles'!22:22,"AAAAADXddxA=",0)</f>
        <v>0</v>
      </c>
      <c r="R9" t="b">
        <f>AND('Male Individual Rope Singles'!A22,"AAAAADXddxE=")</f>
        <v>1</v>
      </c>
      <c r="S9" t="e">
        <f>AND('Male Individual Rope Singles'!B22,"AAAAADXddxI=")</f>
        <v>#VALUE!</v>
      </c>
      <c r="T9" t="e">
        <f>AND('Male Individual Rope Singles'!C22,"AAAAADXddxM=")</f>
        <v>#VALUE!</v>
      </c>
      <c r="U9" t="e">
        <f>AND('Male Individual Rope Singles'!D22,"AAAAADXddxQ=")</f>
        <v>#VALUE!</v>
      </c>
      <c r="V9" t="e">
        <f>AND('Male Individual Rope Singles'!E22,"AAAAADXddxU=")</f>
        <v>#VALUE!</v>
      </c>
      <c r="W9" t="e">
        <f>AND('Male Individual Rope Singles'!F22,"AAAAADXddxY=")</f>
        <v>#VALUE!</v>
      </c>
      <c r="X9" t="e">
        <f>AND('Male Individual Rope Singles'!G22,"AAAAADXddxc=")</f>
        <v>#VALUE!</v>
      </c>
      <c r="Y9" t="b">
        <f>AND('Male Individual Rope Singles'!H22,"AAAAADXddxg=")</f>
        <v>1</v>
      </c>
      <c r="Z9" t="e">
        <f>AND('Male Individual Rope Singles'!I22,"AAAAADXddxk=")</f>
        <v>#VALUE!</v>
      </c>
      <c r="AA9" t="e">
        <f>AND('Male Individual Rope Singles'!J22,"AAAAADXddxo=")</f>
        <v>#VALUE!</v>
      </c>
      <c r="AB9" t="e">
        <f>AND('Male Individual Rope Singles'!K22,"AAAAADXddxs=")</f>
        <v>#VALUE!</v>
      </c>
      <c r="AC9" t="e">
        <f>AND('Male Individual Rope Singles'!L22,"AAAAADXddxw=")</f>
        <v>#VALUE!</v>
      </c>
      <c r="AD9" t="e">
        <f>AND('Male Individual Rope Singles'!M22,"AAAAADXddx0=")</f>
        <v>#VALUE!</v>
      </c>
      <c r="AE9">
        <f>IF('Male Individual Rope Singles'!23:23,"AAAAADXddx4=",0)</f>
        <v>0</v>
      </c>
      <c r="AF9" t="e">
        <f>AND('Male Individual Rope Singles'!A23,"AAAAADXddx8=")</f>
        <v>#VALUE!</v>
      </c>
      <c r="AG9" t="e">
        <f>AND('Male Individual Rope Singles'!B23,"AAAAADXddyA=")</f>
        <v>#VALUE!</v>
      </c>
      <c r="AH9" t="e">
        <f>AND('Male Individual Rope Singles'!C23,"AAAAADXddyE=")</f>
        <v>#VALUE!</v>
      </c>
      <c r="AI9" t="e">
        <f>AND('Male Individual Rope Singles'!D23,"AAAAADXddyI=")</f>
        <v>#VALUE!</v>
      </c>
      <c r="AJ9" t="e">
        <f>AND('Male Individual Rope Singles'!E23,"AAAAADXddyM=")</f>
        <v>#VALUE!</v>
      </c>
      <c r="AK9" t="e">
        <f>AND('Male Individual Rope Singles'!F23,"AAAAADXddyQ=")</f>
        <v>#VALUE!</v>
      </c>
      <c r="AL9" t="e">
        <f>AND('Male Individual Rope Singles'!G23,"AAAAADXddyU=")</f>
        <v>#VALUE!</v>
      </c>
      <c r="AM9" t="e">
        <f>AND('Male Individual Rope Singles'!H23,"AAAAADXddyY=")</f>
        <v>#VALUE!</v>
      </c>
      <c r="AN9" t="e">
        <f>AND('Male Individual Rope Singles'!I23,"AAAAADXddyc=")</f>
        <v>#VALUE!</v>
      </c>
      <c r="AO9" t="e">
        <f>AND('Male Individual Rope Singles'!J23,"AAAAADXddyg=")</f>
        <v>#VALUE!</v>
      </c>
      <c r="AP9" t="e">
        <f>AND('Male Individual Rope Singles'!K23,"AAAAADXddyk=")</f>
        <v>#VALUE!</v>
      </c>
      <c r="AQ9" t="e">
        <f>AND('Male Individual Rope Singles'!L23,"AAAAADXddyo=")</f>
        <v>#VALUE!</v>
      </c>
      <c r="AR9" t="e">
        <f>AND('Male Individual Rope Singles'!M23,"AAAAADXddys=")</f>
        <v>#VALUE!</v>
      </c>
      <c r="AS9">
        <f>IF('Male Individual Rope Singles'!24:24,"AAAAADXddyw=",0)</f>
        <v>0</v>
      </c>
      <c r="AT9" t="e">
        <f>AND('Male Individual Rope Singles'!A24,"AAAAADXddy0=")</f>
        <v>#VALUE!</v>
      </c>
      <c r="AU9" t="e">
        <f>AND('Male Individual Rope Singles'!B24,"AAAAADXddy4=")</f>
        <v>#VALUE!</v>
      </c>
      <c r="AV9" t="e">
        <f>AND('Male Individual Rope Singles'!C24,"AAAAADXddy8=")</f>
        <v>#VALUE!</v>
      </c>
      <c r="AW9" t="e">
        <f>AND('Male Individual Rope Singles'!D24,"AAAAADXddzA=")</f>
        <v>#VALUE!</v>
      </c>
      <c r="AX9" t="e">
        <f>AND('Male Individual Rope Singles'!E24,"AAAAADXddzE=")</f>
        <v>#VALUE!</v>
      </c>
      <c r="AY9" t="e">
        <f>AND('Male Individual Rope Singles'!F24,"AAAAADXddzI=")</f>
        <v>#VALUE!</v>
      </c>
      <c r="AZ9" t="e">
        <f>AND('Male Individual Rope Singles'!G24,"AAAAADXddzM=")</f>
        <v>#VALUE!</v>
      </c>
      <c r="BA9" t="e">
        <f>AND('Male Individual Rope Singles'!H24,"AAAAADXddzQ=")</f>
        <v>#VALUE!</v>
      </c>
      <c r="BB9" t="e">
        <f>AND('Male Individual Rope Singles'!I24,"AAAAADXddzU=")</f>
        <v>#VALUE!</v>
      </c>
      <c r="BC9" t="e">
        <f>AND('Male Individual Rope Singles'!J24,"AAAAADXddzY=")</f>
        <v>#VALUE!</v>
      </c>
      <c r="BD9" t="e">
        <f>AND('Male Individual Rope Singles'!K24,"AAAAADXddzc=")</f>
        <v>#VALUE!</v>
      </c>
      <c r="BE9" t="e">
        <f>AND('Male Individual Rope Singles'!L24,"AAAAADXddzg=")</f>
        <v>#VALUE!</v>
      </c>
      <c r="BF9" t="e">
        <f>AND('Male Individual Rope Singles'!M24,"AAAAADXddzk=")</f>
        <v>#VALUE!</v>
      </c>
      <c r="BG9">
        <f>IF('Male Individual Rope Singles'!25:25,"AAAAADXddzo=",0)</f>
        <v>0</v>
      </c>
      <c r="BH9" t="b">
        <f>AND('Male Individual Rope Singles'!A25,"AAAAADXddzs=")</f>
        <v>1</v>
      </c>
      <c r="BI9" t="e">
        <f>AND('Male Individual Rope Singles'!B25,"AAAAADXddzw=")</f>
        <v>#VALUE!</v>
      </c>
      <c r="BJ9" t="e">
        <f>AND('Male Individual Rope Singles'!C25,"AAAAADXddz0=")</f>
        <v>#VALUE!</v>
      </c>
      <c r="BK9" t="e">
        <f>AND('Male Individual Rope Singles'!D25,"AAAAADXddz4=")</f>
        <v>#VALUE!</v>
      </c>
      <c r="BL9" t="e">
        <f>AND('Male Individual Rope Singles'!E25,"AAAAADXddz8=")</f>
        <v>#VALUE!</v>
      </c>
      <c r="BM9" t="e">
        <f>AND('Male Individual Rope Singles'!F25,"AAAAADXdd0A=")</f>
        <v>#VALUE!</v>
      </c>
      <c r="BN9" t="e">
        <f>AND('Male Individual Rope Singles'!G25,"AAAAADXdd0E=")</f>
        <v>#VALUE!</v>
      </c>
      <c r="BO9" t="b">
        <f>AND('Male Individual Rope Singles'!H25,"AAAAADXdd0I=")</f>
        <v>1</v>
      </c>
      <c r="BP9" t="e">
        <f>AND('Male Individual Rope Singles'!I25,"AAAAADXdd0M=")</f>
        <v>#VALUE!</v>
      </c>
      <c r="BQ9" t="e">
        <f>AND('Male Individual Rope Singles'!J25,"AAAAADXdd0Q=")</f>
        <v>#VALUE!</v>
      </c>
      <c r="BR9" t="e">
        <f>AND('Male Individual Rope Singles'!K25,"AAAAADXdd0U=")</f>
        <v>#VALUE!</v>
      </c>
      <c r="BS9" t="e">
        <f>AND('Male Individual Rope Singles'!L25,"AAAAADXdd0Y=")</f>
        <v>#VALUE!</v>
      </c>
      <c r="BT9" t="e">
        <f>AND('Male Individual Rope Singles'!M25,"AAAAADXdd0c=")</f>
        <v>#VALUE!</v>
      </c>
      <c r="BU9">
        <f>IF('Male Individual Rope Singles'!26:26,"AAAAADXdd0g=",0)</f>
        <v>0</v>
      </c>
      <c r="BV9" t="b">
        <f>AND('Male Individual Rope Singles'!A26,"AAAAADXdd0k=")</f>
        <v>1</v>
      </c>
      <c r="BW9" t="e">
        <f>AND('Male Individual Rope Singles'!B26,"AAAAADXdd0o=")</f>
        <v>#VALUE!</v>
      </c>
      <c r="BX9" t="e">
        <f>AND('Male Individual Rope Singles'!C26,"AAAAADXdd0s=")</f>
        <v>#VALUE!</v>
      </c>
      <c r="BY9" t="e">
        <f>AND('Male Individual Rope Singles'!D26,"AAAAADXdd0w=")</f>
        <v>#VALUE!</v>
      </c>
      <c r="BZ9" t="e">
        <f>AND('Male Individual Rope Singles'!E26,"AAAAADXdd00=")</f>
        <v>#VALUE!</v>
      </c>
      <c r="CA9" t="e">
        <f>AND('Male Individual Rope Singles'!F26,"AAAAADXdd04=")</f>
        <v>#VALUE!</v>
      </c>
      <c r="CB9" t="e">
        <f>AND('Male Individual Rope Singles'!G26,"AAAAADXdd08=")</f>
        <v>#VALUE!</v>
      </c>
      <c r="CC9" t="b">
        <f>AND('Male Individual Rope Singles'!H26,"AAAAADXdd1A=")</f>
        <v>1</v>
      </c>
      <c r="CD9" t="e">
        <f>AND('Male Individual Rope Singles'!I26,"AAAAADXdd1E=")</f>
        <v>#VALUE!</v>
      </c>
      <c r="CE9" t="e">
        <f>AND('Male Individual Rope Singles'!J26,"AAAAADXdd1I=")</f>
        <v>#VALUE!</v>
      </c>
      <c r="CF9" t="e">
        <f>AND('Male Individual Rope Singles'!K26,"AAAAADXdd1M=")</f>
        <v>#VALUE!</v>
      </c>
      <c r="CG9" t="e">
        <f>AND('Male Individual Rope Singles'!L26,"AAAAADXdd1Q=")</f>
        <v>#VALUE!</v>
      </c>
      <c r="CH9" t="e">
        <f>AND('Male Individual Rope Singles'!M26,"AAAAADXdd1U=")</f>
        <v>#VALUE!</v>
      </c>
      <c r="CI9">
        <f>IF('Male Individual Rope Singles'!27:27,"AAAAADXdd1Y=",0)</f>
        <v>0</v>
      </c>
      <c r="CJ9" t="b">
        <f>AND('Male Individual Rope Singles'!A27,"AAAAADXdd1c=")</f>
        <v>1</v>
      </c>
      <c r="CK9" t="e">
        <f>AND('Male Individual Rope Singles'!B27,"AAAAADXdd1g=")</f>
        <v>#VALUE!</v>
      </c>
      <c r="CL9" t="e">
        <f>AND('Male Individual Rope Singles'!C27,"AAAAADXdd1k=")</f>
        <v>#VALUE!</v>
      </c>
      <c r="CM9" t="e">
        <f>AND('Male Individual Rope Singles'!D27,"AAAAADXdd1o=")</f>
        <v>#VALUE!</v>
      </c>
      <c r="CN9" t="e">
        <f>AND('Male Individual Rope Singles'!E27,"AAAAADXdd1s=")</f>
        <v>#VALUE!</v>
      </c>
      <c r="CO9" t="e">
        <f>AND('Male Individual Rope Singles'!F27,"AAAAADXdd1w=")</f>
        <v>#VALUE!</v>
      </c>
      <c r="CP9" t="e">
        <f>AND('Male Individual Rope Singles'!G27,"AAAAADXdd10=")</f>
        <v>#VALUE!</v>
      </c>
      <c r="CQ9" t="b">
        <f>AND('Male Individual Rope Singles'!H27,"AAAAADXdd14=")</f>
        <v>1</v>
      </c>
      <c r="CR9" t="e">
        <f>AND('Male Individual Rope Singles'!I27,"AAAAADXdd18=")</f>
        <v>#VALUE!</v>
      </c>
      <c r="CS9" t="e">
        <f>AND('Male Individual Rope Singles'!J27,"AAAAADXdd2A=")</f>
        <v>#VALUE!</v>
      </c>
      <c r="CT9" t="e">
        <f>AND('Male Individual Rope Singles'!K27,"AAAAADXdd2E=")</f>
        <v>#VALUE!</v>
      </c>
      <c r="CU9" t="e">
        <f>AND('Male Individual Rope Singles'!L27,"AAAAADXdd2I=")</f>
        <v>#VALUE!</v>
      </c>
      <c r="CV9" t="e">
        <f>AND('Male Individual Rope Singles'!M27,"AAAAADXdd2M=")</f>
        <v>#VALUE!</v>
      </c>
      <c r="CW9">
        <f>IF('Male Individual Rope Singles'!28:28,"AAAAADXdd2Q=",0)</f>
        <v>0</v>
      </c>
      <c r="CX9" t="b">
        <f>AND('Male Individual Rope Singles'!A28,"AAAAADXdd2U=")</f>
        <v>1</v>
      </c>
      <c r="CY9" t="e">
        <f>AND('Male Individual Rope Singles'!B28,"AAAAADXdd2Y=")</f>
        <v>#VALUE!</v>
      </c>
      <c r="CZ9" t="e">
        <f>AND('Male Individual Rope Singles'!C28,"AAAAADXdd2c=")</f>
        <v>#VALUE!</v>
      </c>
      <c r="DA9" t="e">
        <f>AND('Male Individual Rope Singles'!D28,"AAAAADXdd2g=")</f>
        <v>#VALUE!</v>
      </c>
      <c r="DB9" t="e">
        <f>AND('Male Individual Rope Singles'!E28,"AAAAADXdd2k=")</f>
        <v>#VALUE!</v>
      </c>
      <c r="DC9" t="e">
        <f>AND('Male Individual Rope Singles'!F28,"AAAAADXdd2o=")</f>
        <v>#VALUE!</v>
      </c>
      <c r="DD9" t="e">
        <f>AND('Male Individual Rope Singles'!G28,"AAAAADXdd2s=")</f>
        <v>#VALUE!</v>
      </c>
      <c r="DE9" t="b">
        <f>AND('Male Individual Rope Singles'!H28,"AAAAADXdd2w=")</f>
        <v>1</v>
      </c>
      <c r="DF9" t="e">
        <f>AND('Male Individual Rope Singles'!I28,"AAAAADXdd20=")</f>
        <v>#VALUE!</v>
      </c>
      <c r="DG9" t="e">
        <f>AND('Male Individual Rope Singles'!J28,"AAAAADXdd24=")</f>
        <v>#VALUE!</v>
      </c>
      <c r="DH9" t="e">
        <f>AND('Male Individual Rope Singles'!K28,"AAAAADXdd28=")</f>
        <v>#VALUE!</v>
      </c>
      <c r="DI9" t="e">
        <f>AND('Male Individual Rope Singles'!L28,"AAAAADXdd3A=")</f>
        <v>#VALUE!</v>
      </c>
      <c r="DJ9" t="e">
        <f>AND('Male Individual Rope Singles'!M28,"AAAAADXdd3E=")</f>
        <v>#VALUE!</v>
      </c>
      <c r="DK9">
        <f>IF('Male Individual Rope Singles'!29:29,"AAAAADXdd3I=",0)</f>
        <v>0</v>
      </c>
      <c r="DL9" t="b">
        <f>AND('Male Individual Rope Singles'!A29,"AAAAADXdd3M=")</f>
        <v>1</v>
      </c>
      <c r="DM9" t="e">
        <f>AND('Male Individual Rope Singles'!B29,"AAAAADXdd3Q=")</f>
        <v>#VALUE!</v>
      </c>
      <c r="DN9" t="e">
        <f>AND('Male Individual Rope Singles'!C29,"AAAAADXdd3U=")</f>
        <v>#VALUE!</v>
      </c>
      <c r="DO9" t="e">
        <f>AND('Male Individual Rope Singles'!D29,"AAAAADXdd3Y=")</f>
        <v>#VALUE!</v>
      </c>
      <c r="DP9" t="e">
        <f>AND('Male Individual Rope Singles'!E29,"AAAAADXdd3c=")</f>
        <v>#VALUE!</v>
      </c>
      <c r="DQ9" t="e">
        <f>AND('Male Individual Rope Singles'!F29,"AAAAADXdd3g=")</f>
        <v>#VALUE!</v>
      </c>
      <c r="DR9" t="e">
        <f>AND('Male Individual Rope Singles'!G29,"AAAAADXdd3k=")</f>
        <v>#VALUE!</v>
      </c>
      <c r="DS9" t="b">
        <f>AND('Male Individual Rope Singles'!H29,"AAAAADXdd3o=")</f>
        <v>1</v>
      </c>
      <c r="DT9" t="e">
        <f>AND('Male Individual Rope Singles'!I29,"AAAAADXdd3s=")</f>
        <v>#VALUE!</v>
      </c>
      <c r="DU9" t="e">
        <f>AND('Male Individual Rope Singles'!J29,"AAAAADXdd3w=")</f>
        <v>#VALUE!</v>
      </c>
      <c r="DV9" t="e">
        <f>AND('Male Individual Rope Singles'!K29,"AAAAADXdd30=")</f>
        <v>#VALUE!</v>
      </c>
      <c r="DW9" t="e">
        <f>AND('Male Individual Rope Singles'!L29,"AAAAADXdd34=")</f>
        <v>#VALUE!</v>
      </c>
      <c r="DX9" t="e">
        <f>AND('Male Individual Rope Singles'!M29,"AAAAADXdd38=")</f>
        <v>#VALUE!</v>
      </c>
      <c r="DY9">
        <f>IF('Male Individual Rope Singles'!30:30,"AAAAADXdd4A=",0)</f>
        <v>0</v>
      </c>
      <c r="DZ9" t="b">
        <f>AND('Male Individual Rope Singles'!A30,"AAAAADXdd4E=")</f>
        <v>1</v>
      </c>
      <c r="EA9" t="e">
        <f>AND('Male Individual Rope Singles'!B30,"AAAAADXdd4I=")</f>
        <v>#VALUE!</v>
      </c>
      <c r="EB9" t="e">
        <f>AND('Male Individual Rope Singles'!C30,"AAAAADXdd4M=")</f>
        <v>#VALUE!</v>
      </c>
      <c r="EC9" t="e">
        <f>AND('Male Individual Rope Singles'!D30,"AAAAADXdd4Q=")</f>
        <v>#VALUE!</v>
      </c>
      <c r="ED9" t="e">
        <f>AND('Male Individual Rope Singles'!E30,"AAAAADXdd4U=")</f>
        <v>#VALUE!</v>
      </c>
      <c r="EE9" t="e">
        <f>AND('Male Individual Rope Singles'!F30,"AAAAADXdd4Y=")</f>
        <v>#VALUE!</v>
      </c>
      <c r="EF9" t="e">
        <f>AND('Male Individual Rope Singles'!G30,"AAAAADXdd4c=")</f>
        <v>#VALUE!</v>
      </c>
      <c r="EG9" t="b">
        <f>AND('Male Individual Rope Singles'!H30,"AAAAADXdd4g=")</f>
        <v>1</v>
      </c>
      <c r="EH9" t="e">
        <f>AND('Male Individual Rope Singles'!I30,"AAAAADXdd4k=")</f>
        <v>#VALUE!</v>
      </c>
      <c r="EI9" t="e">
        <f>AND('Male Individual Rope Singles'!J30,"AAAAADXdd4o=")</f>
        <v>#VALUE!</v>
      </c>
      <c r="EJ9" t="e">
        <f>AND('Male Individual Rope Singles'!K30,"AAAAADXdd4s=")</f>
        <v>#VALUE!</v>
      </c>
      <c r="EK9" t="e">
        <f>AND('Male Individual Rope Singles'!L30,"AAAAADXdd4w=")</f>
        <v>#VALUE!</v>
      </c>
      <c r="EL9" t="e">
        <f>AND('Male Individual Rope Singles'!M30,"AAAAADXdd40=")</f>
        <v>#VALUE!</v>
      </c>
      <c r="EM9">
        <f>IF('Male Individual Rope Singles'!31:31,"AAAAADXdd44=",0)</f>
        <v>0</v>
      </c>
      <c r="EN9" t="b">
        <f>AND('Male Individual Rope Singles'!A31,"AAAAADXdd48=")</f>
        <v>1</v>
      </c>
      <c r="EO9" t="e">
        <f>AND('Male Individual Rope Singles'!B31,"AAAAADXdd5A=")</f>
        <v>#VALUE!</v>
      </c>
      <c r="EP9" t="e">
        <f>AND('Male Individual Rope Singles'!C31,"AAAAADXdd5E=")</f>
        <v>#VALUE!</v>
      </c>
      <c r="EQ9" t="e">
        <f>AND('Male Individual Rope Singles'!D31,"AAAAADXdd5I=")</f>
        <v>#VALUE!</v>
      </c>
      <c r="ER9" t="e">
        <f>AND('Male Individual Rope Singles'!E31,"AAAAADXdd5M=")</f>
        <v>#VALUE!</v>
      </c>
      <c r="ES9" t="e">
        <f>AND('Male Individual Rope Singles'!F31,"AAAAADXdd5Q=")</f>
        <v>#VALUE!</v>
      </c>
      <c r="ET9" t="e">
        <f>AND('Male Individual Rope Singles'!G31,"AAAAADXdd5U=")</f>
        <v>#VALUE!</v>
      </c>
      <c r="EU9" t="b">
        <f>AND('Male Individual Rope Singles'!H31,"AAAAADXdd5Y=")</f>
        <v>1</v>
      </c>
      <c r="EV9" t="e">
        <f>AND('Male Individual Rope Singles'!I31,"AAAAADXdd5c=")</f>
        <v>#VALUE!</v>
      </c>
      <c r="EW9" t="e">
        <f>AND('Male Individual Rope Singles'!J31,"AAAAADXdd5g=")</f>
        <v>#VALUE!</v>
      </c>
      <c r="EX9" t="e">
        <f>AND('Male Individual Rope Singles'!K31,"AAAAADXdd5k=")</f>
        <v>#VALUE!</v>
      </c>
      <c r="EY9" t="e">
        <f>AND('Male Individual Rope Singles'!L31,"AAAAADXdd5o=")</f>
        <v>#VALUE!</v>
      </c>
      <c r="EZ9" t="e">
        <f>AND('Male Individual Rope Singles'!M31,"AAAAADXdd5s=")</f>
        <v>#VALUE!</v>
      </c>
      <c r="FA9">
        <f>IF('Male Individual Rope Singles'!32:32,"AAAAADXdd5w=",0)</f>
        <v>0</v>
      </c>
      <c r="FB9" t="b">
        <f>AND('Male Individual Rope Singles'!A32,"AAAAADXdd50=")</f>
        <v>1</v>
      </c>
      <c r="FC9" t="e">
        <f>AND('Male Individual Rope Singles'!B32,"AAAAADXdd54=")</f>
        <v>#VALUE!</v>
      </c>
      <c r="FD9" t="e">
        <f>AND('Male Individual Rope Singles'!C32,"AAAAADXdd58=")</f>
        <v>#VALUE!</v>
      </c>
      <c r="FE9" t="e">
        <f>AND('Male Individual Rope Singles'!D32,"AAAAADXdd6A=")</f>
        <v>#VALUE!</v>
      </c>
      <c r="FF9" t="e">
        <f>AND('Male Individual Rope Singles'!E32,"AAAAADXdd6E=")</f>
        <v>#VALUE!</v>
      </c>
      <c r="FG9" t="e">
        <f>AND('Male Individual Rope Singles'!F32,"AAAAADXdd6I=")</f>
        <v>#VALUE!</v>
      </c>
      <c r="FH9" t="e">
        <f>AND('Male Individual Rope Singles'!G32,"AAAAADXdd6M=")</f>
        <v>#VALUE!</v>
      </c>
      <c r="FI9" t="b">
        <f>AND('Male Individual Rope Singles'!H32,"AAAAADXdd6Q=")</f>
        <v>1</v>
      </c>
      <c r="FJ9" t="e">
        <f>AND('Male Individual Rope Singles'!I32,"AAAAADXdd6U=")</f>
        <v>#VALUE!</v>
      </c>
      <c r="FK9" t="e">
        <f>AND('Male Individual Rope Singles'!J32,"AAAAADXdd6Y=")</f>
        <v>#VALUE!</v>
      </c>
      <c r="FL9" t="e">
        <f>AND('Male Individual Rope Singles'!K32,"AAAAADXdd6c=")</f>
        <v>#VALUE!</v>
      </c>
      <c r="FM9" t="e">
        <f>AND('Male Individual Rope Singles'!L32,"AAAAADXdd6g=")</f>
        <v>#VALUE!</v>
      </c>
      <c r="FN9" t="e">
        <f>AND('Male Individual Rope Singles'!M32,"AAAAADXdd6k=")</f>
        <v>#VALUE!</v>
      </c>
      <c r="FO9">
        <f>IF('Male Individual Rope Singles'!33:33,"AAAAADXdd6o=",0)</f>
        <v>0</v>
      </c>
      <c r="FP9" t="e">
        <f>AND('Male Individual Rope Singles'!A33,"AAAAADXdd6s=")</f>
        <v>#VALUE!</v>
      </c>
      <c r="FQ9" t="e">
        <f>AND('Male Individual Rope Singles'!B33,"AAAAADXdd6w=")</f>
        <v>#VALUE!</v>
      </c>
      <c r="FR9" t="e">
        <f>AND('Male Individual Rope Singles'!C33,"AAAAADXdd60=")</f>
        <v>#VALUE!</v>
      </c>
      <c r="FS9" t="e">
        <f>AND('Male Individual Rope Singles'!D33,"AAAAADXdd64=")</f>
        <v>#VALUE!</v>
      </c>
      <c r="FT9" t="e">
        <f>AND('Male Individual Rope Singles'!E33,"AAAAADXdd68=")</f>
        <v>#VALUE!</v>
      </c>
      <c r="FU9" t="e">
        <f>AND('Male Individual Rope Singles'!F33,"AAAAADXdd7A=")</f>
        <v>#VALUE!</v>
      </c>
      <c r="FV9" t="e">
        <f>AND('Male Individual Rope Singles'!G33,"AAAAADXdd7E=")</f>
        <v>#VALUE!</v>
      </c>
      <c r="FW9" t="e">
        <f>AND('Male Individual Rope Singles'!H33,"AAAAADXdd7I=")</f>
        <v>#VALUE!</v>
      </c>
      <c r="FX9" t="e">
        <f>AND('Male Individual Rope Singles'!I33,"AAAAADXdd7M=")</f>
        <v>#VALUE!</v>
      </c>
      <c r="FY9" t="e">
        <f>AND('Male Individual Rope Singles'!J33,"AAAAADXdd7Q=")</f>
        <v>#VALUE!</v>
      </c>
      <c r="FZ9" t="e">
        <f>AND('Male Individual Rope Singles'!K33,"AAAAADXdd7U=")</f>
        <v>#VALUE!</v>
      </c>
      <c r="GA9" t="e">
        <f>AND('Male Individual Rope Singles'!L33,"AAAAADXdd7Y=")</f>
        <v>#VALUE!</v>
      </c>
      <c r="GB9" t="e">
        <f>AND('Male Individual Rope Singles'!M33,"AAAAADXdd7c=")</f>
        <v>#VALUE!</v>
      </c>
      <c r="GC9" t="str">
        <f>IF('Male Individual Rope Singles'!A:A,"AAAAADXdd7g=",0)</f>
        <v>AAAAADXdd7g=</v>
      </c>
      <c r="GD9" t="e">
        <f>IF('Male Individual Rope Singles'!B:B,"AAAAADXdd7k=",0)</f>
        <v>#VALUE!</v>
      </c>
      <c r="GE9" t="e">
        <f>IF('Male Individual Rope Singles'!C:C,"AAAAADXdd7o=",0)</f>
        <v>#VALUE!</v>
      </c>
      <c r="GF9">
        <f>IF('Male Individual Rope Singles'!D:D,"AAAAADXdd7s=",0)</f>
        <v>0</v>
      </c>
      <c r="GG9" t="e">
        <f>IF('Male Individual Rope Singles'!E:E,"AAAAADXdd7w=",0)</f>
        <v>#VALUE!</v>
      </c>
      <c r="GH9" t="e">
        <f>IF('Male Individual Rope Singles'!F:F,"AAAAADXdd70=",0)</f>
        <v>#VALUE!</v>
      </c>
      <c r="GI9">
        <f>IF('Male Individual Rope Singles'!G:G,"AAAAADXdd74=",0)</f>
        <v>0</v>
      </c>
      <c r="GJ9" t="str">
        <f>IF('Male Individual Rope Singles'!H:H,"AAAAADXdd78=",0)</f>
        <v>AAAAADXdd78=</v>
      </c>
      <c r="GK9" t="e">
        <f>IF('Male Individual Rope Singles'!I:I,"AAAAADXdd8A=",0)</f>
        <v>#VALUE!</v>
      </c>
      <c r="GL9" t="e">
        <f>IF('Male Individual Rope Singles'!J:J,"AAAAADXdd8E=",0)</f>
        <v>#VALUE!</v>
      </c>
      <c r="GM9">
        <f>IF('Male Individual Rope Singles'!K:K,"AAAAADXdd8I=",0)</f>
        <v>0</v>
      </c>
      <c r="GN9" t="e">
        <f>IF('Male Individual Rope Singles'!L:L,"AAAAADXdd8M=",0)</f>
        <v>#VALUE!</v>
      </c>
      <c r="GO9" t="e">
        <f>IF('Male Individual Rope Singles'!M:M,"AAAAADXdd8Q=",0)</f>
        <v>#VALUE!</v>
      </c>
      <c r="GP9">
        <f>IF('Female Individual Rope Singles'!1:1,"AAAAADXdd8U=",0)</f>
        <v>0</v>
      </c>
      <c r="GQ9" t="e">
        <f>AND('Female Individual Rope Singles'!A1,"AAAAADXdd8Y=")</f>
        <v>#VALUE!</v>
      </c>
      <c r="GR9" t="e">
        <f>AND('Female Individual Rope Singles'!B1,"AAAAADXdd8c=")</f>
        <v>#VALUE!</v>
      </c>
      <c r="GS9" t="e">
        <f>AND('Female Individual Rope Singles'!C1,"AAAAADXdd8g=")</f>
        <v>#VALUE!</v>
      </c>
      <c r="GT9" t="e">
        <f>AND('Female Individual Rope Singles'!D1,"AAAAADXdd8k=")</f>
        <v>#VALUE!</v>
      </c>
      <c r="GU9" t="e">
        <f>AND('Female Individual Rope Singles'!E1,"AAAAADXdd8o=")</f>
        <v>#VALUE!</v>
      </c>
      <c r="GV9" t="e">
        <f>AND('Female Individual Rope Singles'!F1,"AAAAADXdd8s=")</f>
        <v>#VALUE!</v>
      </c>
      <c r="GW9" t="e">
        <f>AND('Female Individual Rope Singles'!G1,"AAAAADXdd8w=")</f>
        <v>#VALUE!</v>
      </c>
      <c r="GX9" t="e">
        <f>AND('Female Individual Rope Singles'!H1,"AAAAADXdd80=")</f>
        <v>#VALUE!</v>
      </c>
      <c r="GY9" t="e">
        <f>AND('Female Individual Rope Singles'!I1,"AAAAADXdd84=")</f>
        <v>#VALUE!</v>
      </c>
      <c r="GZ9" t="e">
        <f>AND('Female Individual Rope Singles'!J1,"AAAAADXdd88=")</f>
        <v>#VALUE!</v>
      </c>
      <c r="HA9" t="e">
        <f>AND('Female Individual Rope Singles'!K1,"AAAAADXdd9A=")</f>
        <v>#VALUE!</v>
      </c>
      <c r="HB9" t="e">
        <f>AND('Female Individual Rope Singles'!L1,"AAAAADXdd9E=")</f>
        <v>#VALUE!</v>
      </c>
      <c r="HC9" t="e">
        <f>AND('Female Individual Rope Singles'!M1,"AAAAADXdd9I=")</f>
        <v>#VALUE!</v>
      </c>
      <c r="HD9">
        <f>IF('Female Individual Rope Singles'!2:2,"AAAAADXdd9M=",0)</f>
        <v>0</v>
      </c>
      <c r="HE9" t="e">
        <f>AND('Female Individual Rope Singles'!A2,"AAAAADXdd9Q=")</f>
        <v>#VALUE!</v>
      </c>
      <c r="HF9" t="e">
        <f>AND('Female Individual Rope Singles'!B2,"AAAAADXdd9U=")</f>
        <v>#VALUE!</v>
      </c>
      <c r="HG9" t="e">
        <f>AND('Female Individual Rope Singles'!C2,"AAAAADXdd9Y=")</f>
        <v>#VALUE!</v>
      </c>
      <c r="HH9" t="e">
        <f>AND('Female Individual Rope Singles'!D2,"AAAAADXdd9c=")</f>
        <v>#VALUE!</v>
      </c>
      <c r="HI9" t="e">
        <f>AND('Female Individual Rope Singles'!E2,"AAAAADXdd9g=")</f>
        <v>#VALUE!</v>
      </c>
      <c r="HJ9" t="e">
        <f>AND('Female Individual Rope Singles'!F2,"AAAAADXdd9k=")</f>
        <v>#VALUE!</v>
      </c>
      <c r="HK9" t="e">
        <f>AND('Female Individual Rope Singles'!G2,"AAAAADXdd9o=")</f>
        <v>#VALUE!</v>
      </c>
      <c r="HL9" t="e">
        <f>AND('Female Individual Rope Singles'!H2,"AAAAADXdd9s=")</f>
        <v>#VALUE!</v>
      </c>
      <c r="HM9" t="e">
        <f>AND('Female Individual Rope Singles'!I2,"AAAAADXdd9w=")</f>
        <v>#VALUE!</v>
      </c>
      <c r="HN9" t="e">
        <f>AND('Female Individual Rope Singles'!J2,"AAAAADXdd90=")</f>
        <v>#VALUE!</v>
      </c>
      <c r="HO9" t="e">
        <f>AND('Female Individual Rope Singles'!K2,"AAAAADXdd94=")</f>
        <v>#VALUE!</v>
      </c>
      <c r="HP9" t="e">
        <f>AND('Female Individual Rope Singles'!L2,"AAAAADXdd98=")</f>
        <v>#VALUE!</v>
      </c>
      <c r="HQ9" t="e">
        <f>AND('Female Individual Rope Singles'!M2,"AAAAADXdd+A=")</f>
        <v>#VALUE!</v>
      </c>
      <c r="HR9">
        <f>IF('Female Individual Rope Singles'!3:3,"AAAAADXdd+E=",0)</f>
        <v>0</v>
      </c>
      <c r="HS9" t="e">
        <f>AND('Female Individual Rope Singles'!A3,"AAAAADXdd+I=")</f>
        <v>#VALUE!</v>
      </c>
      <c r="HT9" t="e">
        <f>AND('Female Individual Rope Singles'!B3,"AAAAADXdd+M=")</f>
        <v>#VALUE!</v>
      </c>
      <c r="HU9" t="e">
        <f>AND('Female Individual Rope Singles'!C3,"AAAAADXdd+Q=")</f>
        <v>#VALUE!</v>
      </c>
      <c r="HV9" t="e">
        <f>AND('Female Individual Rope Singles'!D3,"AAAAADXdd+U=")</f>
        <v>#VALUE!</v>
      </c>
      <c r="HW9" t="e">
        <f>AND('Female Individual Rope Singles'!E3,"AAAAADXdd+Y=")</f>
        <v>#VALUE!</v>
      </c>
      <c r="HX9" t="e">
        <f>AND('Female Individual Rope Singles'!F3,"AAAAADXdd+c=")</f>
        <v>#VALUE!</v>
      </c>
      <c r="HY9" t="e">
        <f>AND('Female Individual Rope Singles'!G3,"AAAAADXdd+g=")</f>
        <v>#VALUE!</v>
      </c>
      <c r="HZ9" t="b">
        <f>AND('Female Individual Rope Singles'!H3,"AAAAADXdd+k=")</f>
        <v>1</v>
      </c>
      <c r="IA9" t="e">
        <f>AND('Female Individual Rope Singles'!I3,"AAAAADXdd+o=")</f>
        <v>#VALUE!</v>
      </c>
      <c r="IB9" t="e">
        <f>AND('Female Individual Rope Singles'!J3,"AAAAADXdd+s=")</f>
        <v>#VALUE!</v>
      </c>
      <c r="IC9" t="e">
        <f>AND('Female Individual Rope Singles'!K3,"AAAAADXdd+w=")</f>
        <v>#VALUE!</v>
      </c>
      <c r="ID9" t="e">
        <f>AND('Female Individual Rope Singles'!L3,"AAAAADXdd+0=")</f>
        <v>#VALUE!</v>
      </c>
      <c r="IE9" t="e">
        <f>AND('Female Individual Rope Singles'!M3,"AAAAADXdd+4=")</f>
        <v>#VALUE!</v>
      </c>
      <c r="IF9">
        <f>IF('Female Individual Rope Singles'!4:4,"AAAAADXdd+8=",0)</f>
        <v>0</v>
      </c>
      <c r="IG9" t="e">
        <f>AND('Female Individual Rope Singles'!A4,"AAAAADXdd/A=")</f>
        <v>#VALUE!</v>
      </c>
      <c r="IH9" t="e">
        <f>AND('Female Individual Rope Singles'!B4,"AAAAADXdd/E=")</f>
        <v>#VALUE!</v>
      </c>
      <c r="II9" t="e">
        <f>AND('Female Individual Rope Singles'!C4,"AAAAADXdd/I=")</f>
        <v>#VALUE!</v>
      </c>
      <c r="IJ9" t="e">
        <f>AND('Female Individual Rope Singles'!D4,"AAAAADXdd/M=")</f>
        <v>#VALUE!</v>
      </c>
      <c r="IK9" t="e">
        <f>AND('Female Individual Rope Singles'!E4,"AAAAADXdd/Q=")</f>
        <v>#VALUE!</v>
      </c>
      <c r="IL9" t="e">
        <f>AND('Female Individual Rope Singles'!F4,"AAAAADXdd/U=")</f>
        <v>#VALUE!</v>
      </c>
      <c r="IM9" t="e">
        <f>AND('Female Individual Rope Singles'!G4,"AAAAADXdd/Y=")</f>
        <v>#VALUE!</v>
      </c>
      <c r="IN9" t="e">
        <f>AND('Female Individual Rope Singles'!H4,"AAAAADXdd/c=")</f>
        <v>#VALUE!</v>
      </c>
      <c r="IO9" t="e">
        <f>AND('Female Individual Rope Singles'!I4,"AAAAADXdd/g=")</f>
        <v>#VALUE!</v>
      </c>
      <c r="IP9" t="e">
        <f>AND('Female Individual Rope Singles'!J4,"AAAAADXdd/k=")</f>
        <v>#VALUE!</v>
      </c>
      <c r="IQ9" t="e">
        <f>AND('Female Individual Rope Singles'!K4,"AAAAADXdd/o=")</f>
        <v>#VALUE!</v>
      </c>
      <c r="IR9" t="e">
        <f>AND('Female Individual Rope Singles'!L4,"AAAAADXdd/s=")</f>
        <v>#VALUE!</v>
      </c>
      <c r="IS9" t="e">
        <f>AND('Female Individual Rope Singles'!M4,"AAAAADXdd/w=")</f>
        <v>#VALUE!</v>
      </c>
      <c r="IT9">
        <f>IF('Female Individual Rope Singles'!5:5,"AAAAADXdd/0=",0)</f>
        <v>0</v>
      </c>
      <c r="IU9" t="b">
        <f>AND('Female Individual Rope Singles'!A5,"AAAAADXdd/4=")</f>
        <v>1</v>
      </c>
      <c r="IV9" t="e">
        <f>AND('Female Individual Rope Singles'!B5,"AAAAADXdd/8=")</f>
        <v>#VALUE!</v>
      </c>
    </row>
    <row r="10" spans="1:256" x14ac:dyDescent="0.25">
      <c r="A10" t="e">
        <f>AND('Female Individual Rope Singles'!C5,"AAAAAAVrswA=")</f>
        <v>#VALUE!</v>
      </c>
      <c r="B10" t="e">
        <f>AND('Female Individual Rope Singles'!D5,"AAAAAAVrswE=")</f>
        <v>#VALUE!</v>
      </c>
      <c r="C10" t="e">
        <f>AND('Female Individual Rope Singles'!E5,"AAAAAAVrswI=")</f>
        <v>#VALUE!</v>
      </c>
      <c r="D10" t="e">
        <f>AND('Female Individual Rope Singles'!F5,"AAAAAAVrswM=")</f>
        <v>#VALUE!</v>
      </c>
      <c r="E10" t="e">
        <f>AND('Female Individual Rope Singles'!G5,"AAAAAAVrswQ=")</f>
        <v>#VALUE!</v>
      </c>
      <c r="F10" t="b">
        <f>AND('Female Individual Rope Singles'!H5,"AAAAAAVrswU=")</f>
        <v>1</v>
      </c>
      <c r="G10" t="e">
        <f>AND('Female Individual Rope Singles'!I5,"AAAAAAVrswY=")</f>
        <v>#VALUE!</v>
      </c>
      <c r="H10" t="b">
        <f>AND('Female Individual Rope Singles'!J5,"AAAAAAVrswc=")</f>
        <v>1</v>
      </c>
      <c r="I10" t="e">
        <f>AND('Female Individual Rope Singles'!K5,"AAAAAAVrswg=")</f>
        <v>#VALUE!</v>
      </c>
      <c r="J10" t="e">
        <f>AND('Female Individual Rope Singles'!L5,"AAAAAAVrswk=")</f>
        <v>#VALUE!</v>
      </c>
      <c r="K10" t="e">
        <f>AND('Female Individual Rope Singles'!M5,"AAAAAAVrswo=")</f>
        <v>#VALUE!</v>
      </c>
      <c r="L10" t="e">
        <f>IF('Female Individual Rope Singles'!6:6,"AAAAAAVrsws=",0)</f>
        <v>#VALUE!</v>
      </c>
      <c r="M10" t="b">
        <f>AND('Female Individual Rope Singles'!A6,"AAAAAAVrsww=")</f>
        <v>1</v>
      </c>
      <c r="N10" t="e">
        <f>AND('Female Individual Rope Singles'!B6,"AAAAAAVrsw0=")</f>
        <v>#VALUE!</v>
      </c>
      <c r="O10" t="e">
        <f>AND('Female Individual Rope Singles'!C6,"AAAAAAVrsw4=")</f>
        <v>#VALUE!</v>
      </c>
      <c r="P10" t="e">
        <f>AND('Female Individual Rope Singles'!D6,"AAAAAAVrsw8=")</f>
        <v>#VALUE!</v>
      </c>
      <c r="Q10" t="e">
        <f>AND('Female Individual Rope Singles'!E6,"AAAAAAVrsxA=")</f>
        <v>#VALUE!</v>
      </c>
      <c r="R10" t="e">
        <f>AND('Female Individual Rope Singles'!F6,"AAAAAAVrsxE=")</f>
        <v>#VALUE!</v>
      </c>
      <c r="S10" t="e">
        <f>AND('Female Individual Rope Singles'!G6,"AAAAAAVrsxI=")</f>
        <v>#VALUE!</v>
      </c>
      <c r="T10" t="b">
        <f>AND('Female Individual Rope Singles'!H6,"AAAAAAVrsxM=")</f>
        <v>1</v>
      </c>
      <c r="U10" t="e">
        <f>AND('Female Individual Rope Singles'!I6,"AAAAAAVrsxQ=")</f>
        <v>#VALUE!</v>
      </c>
      <c r="V10" t="b">
        <f>AND('Female Individual Rope Singles'!J6,"AAAAAAVrsxU=")</f>
        <v>1</v>
      </c>
      <c r="W10" t="e">
        <f>AND('Female Individual Rope Singles'!K6,"AAAAAAVrsxY=")</f>
        <v>#VALUE!</v>
      </c>
      <c r="X10" t="e">
        <f>AND('Female Individual Rope Singles'!L6,"AAAAAAVrsxc=")</f>
        <v>#VALUE!</v>
      </c>
      <c r="Y10" t="e">
        <f>AND('Female Individual Rope Singles'!M6,"AAAAAAVrsxg=")</f>
        <v>#VALUE!</v>
      </c>
      <c r="Z10">
        <f>IF('Female Individual Rope Singles'!7:7,"AAAAAAVrsxk=",0)</f>
        <v>0</v>
      </c>
      <c r="AA10" t="b">
        <f>AND('Female Individual Rope Singles'!A7,"AAAAAAVrsxo=")</f>
        <v>1</v>
      </c>
      <c r="AB10" t="e">
        <f>AND('Female Individual Rope Singles'!B7,"AAAAAAVrsxs=")</f>
        <v>#VALUE!</v>
      </c>
      <c r="AC10" t="e">
        <f>AND('Female Individual Rope Singles'!C7,"AAAAAAVrsxw=")</f>
        <v>#VALUE!</v>
      </c>
      <c r="AD10" t="e">
        <f>AND('Female Individual Rope Singles'!D7,"AAAAAAVrsx0=")</f>
        <v>#VALUE!</v>
      </c>
      <c r="AE10" t="e">
        <f>AND('Female Individual Rope Singles'!E7,"AAAAAAVrsx4=")</f>
        <v>#VALUE!</v>
      </c>
      <c r="AF10" t="e">
        <f>AND('Female Individual Rope Singles'!F7,"AAAAAAVrsx8=")</f>
        <v>#VALUE!</v>
      </c>
      <c r="AG10" t="e">
        <f>AND('Female Individual Rope Singles'!G7,"AAAAAAVrsyA=")</f>
        <v>#VALUE!</v>
      </c>
      <c r="AH10" t="b">
        <f>AND('Female Individual Rope Singles'!H7,"AAAAAAVrsyE=")</f>
        <v>1</v>
      </c>
      <c r="AI10" t="e">
        <f>AND('Female Individual Rope Singles'!I7,"AAAAAAVrsyI=")</f>
        <v>#VALUE!</v>
      </c>
      <c r="AJ10" t="b">
        <f>AND('Female Individual Rope Singles'!J7,"AAAAAAVrsyM=")</f>
        <v>1</v>
      </c>
      <c r="AK10" t="e">
        <f>AND('Female Individual Rope Singles'!K7,"AAAAAAVrsyQ=")</f>
        <v>#VALUE!</v>
      </c>
      <c r="AL10" t="e">
        <f>AND('Female Individual Rope Singles'!L7,"AAAAAAVrsyU=")</f>
        <v>#VALUE!</v>
      </c>
      <c r="AM10" t="e">
        <f>AND('Female Individual Rope Singles'!M7,"AAAAAAVrsyY=")</f>
        <v>#VALUE!</v>
      </c>
      <c r="AN10">
        <f>IF('Female Individual Rope Singles'!8:8,"AAAAAAVrsyc=",0)</f>
        <v>0</v>
      </c>
      <c r="AO10" t="b">
        <f>AND('Female Individual Rope Singles'!A8,"AAAAAAVrsyg=")</f>
        <v>1</v>
      </c>
      <c r="AP10" t="e">
        <f>AND('Female Individual Rope Singles'!B8,"AAAAAAVrsyk=")</f>
        <v>#VALUE!</v>
      </c>
      <c r="AQ10" t="e">
        <f>AND('Female Individual Rope Singles'!C8,"AAAAAAVrsyo=")</f>
        <v>#VALUE!</v>
      </c>
      <c r="AR10" t="e">
        <f>AND('Female Individual Rope Singles'!D8,"AAAAAAVrsys=")</f>
        <v>#VALUE!</v>
      </c>
      <c r="AS10" t="e">
        <f>AND('Female Individual Rope Singles'!E8,"AAAAAAVrsyw=")</f>
        <v>#VALUE!</v>
      </c>
      <c r="AT10" t="e">
        <f>AND('Female Individual Rope Singles'!F8,"AAAAAAVrsy0=")</f>
        <v>#VALUE!</v>
      </c>
      <c r="AU10" t="e">
        <f>AND('Female Individual Rope Singles'!G8,"AAAAAAVrsy4=")</f>
        <v>#VALUE!</v>
      </c>
      <c r="AV10" t="b">
        <f>AND('Female Individual Rope Singles'!H8,"AAAAAAVrsy8=")</f>
        <v>1</v>
      </c>
      <c r="AW10" t="e">
        <f>AND('Female Individual Rope Singles'!I8,"AAAAAAVrszA=")</f>
        <v>#VALUE!</v>
      </c>
      <c r="AX10" t="b">
        <f>AND('Female Individual Rope Singles'!J8,"AAAAAAVrszE=")</f>
        <v>1</v>
      </c>
      <c r="AY10" t="e">
        <f>AND('Female Individual Rope Singles'!K8,"AAAAAAVrszI=")</f>
        <v>#VALUE!</v>
      </c>
      <c r="AZ10" t="e">
        <f>AND('Female Individual Rope Singles'!L8,"AAAAAAVrszM=")</f>
        <v>#VALUE!</v>
      </c>
      <c r="BA10" t="e">
        <f>AND('Female Individual Rope Singles'!M8,"AAAAAAVrszQ=")</f>
        <v>#VALUE!</v>
      </c>
      <c r="BB10">
        <f>IF('Female Individual Rope Singles'!9:9,"AAAAAAVrszU=",0)</f>
        <v>0</v>
      </c>
      <c r="BC10" t="b">
        <f>AND('Female Individual Rope Singles'!A9,"AAAAAAVrszY=")</f>
        <v>1</v>
      </c>
      <c r="BD10" t="e">
        <f>AND('Female Individual Rope Singles'!B9,"AAAAAAVrszc=")</f>
        <v>#VALUE!</v>
      </c>
      <c r="BE10" t="e">
        <f>AND('Female Individual Rope Singles'!C9,"AAAAAAVrszg=")</f>
        <v>#VALUE!</v>
      </c>
      <c r="BF10" t="e">
        <f>AND('Female Individual Rope Singles'!D9,"AAAAAAVrszk=")</f>
        <v>#VALUE!</v>
      </c>
      <c r="BG10" t="e">
        <f>AND('Female Individual Rope Singles'!E9,"AAAAAAVrszo=")</f>
        <v>#VALUE!</v>
      </c>
      <c r="BH10" t="e">
        <f>AND('Female Individual Rope Singles'!F9,"AAAAAAVrszs=")</f>
        <v>#VALUE!</v>
      </c>
      <c r="BI10" t="e">
        <f>AND('Female Individual Rope Singles'!G9,"AAAAAAVrszw=")</f>
        <v>#VALUE!</v>
      </c>
      <c r="BJ10" t="b">
        <f>AND('Female Individual Rope Singles'!H9,"AAAAAAVrsz0=")</f>
        <v>1</v>
      </c>
      <c r="BK10" t="e">
        <f>AND('Female Individual Rope Singles'!I9,"AAAAAAVrsz4=")</f>
        <v>#VALUE!</v>
      </c>
      <c r="BL10" t="b">
        <f>AND('Female Individual Rope Singles'!J9,"AAAAAAVrsz8=")</f>
        <v>1</v>
      </c>
      <c r="BM10" t="e">
        <f>AND('Female Individual Rope Singles'!K9,"AAAAAAVrs0A=")</f>
        <v>#VALUE!</v>
      </c>
      <c r="BN10" t="e">
        <f>AND('Female Individual Rope Singles'!L9,"AAAAAAVrs0E=")</f>
        <v>#VALUE!</v>
      </c>
      <c r="BO10" t="e">
        <f>AND('Female Individual Rope Singles'!M9,"AAAAAAVrs0I=")</f>
        <v>#VALUE!</v>
      </c>
      <c r="BP10">
        <f>IF('Female Individual Rope Singles'!10:10,"AAAAAAVrs0M=",0)</f>
        <v>0</v>
      </c>
      <c r="BQ10" t="b">
        <f>AND('Female Individual Rope Singles'!A10,"AAAAAAVrs0Q=")</f>
        <v>1</v>
      </c>
      <c r="BR10" t="e">
        <f>AND('Female Individual Rope Singles'!B10,"AAAAAAVrs0U=")</f>
        <v>#VALUE!</v>
      </c>
      <c r="BS10" t="e">
        <f>AND('Female Individual Rope Singles'!C10,"AAAAAAVrs0Y=")</f>
        <v>#VALUE!</v>
      </c>
      <c r="BT10" t="e">
        <f>AND('Female Individual Rope Singles'!D10,"AAAAAAVrs0c=")</f>
        <v>#VALUE!</v>
      </c>
      <c r="BU10" t="e">
        <f>AND('Female Individual Rope Singles'!E10,"AAAAAAVrs0g=")</f>
        <v>#VALUE!</v>
      </c>
      <c r="BV10" t="e">
        <f>AND('Female Individual Rope Singles'!F10,"AAAAAAVrs0k=")</f>
        <v>#VALUE!</v>
      </c>
      <c r="BW10" t="e">
        <f>AND('Female Individual Rope Singles'!G10,"AAAAAAVrs0o=")</f>
        <v>#VALUE!</v>
      </c>
      <c r="BX10" t="b">
        <f>AND('Female Individual Rope Singles'!H10,"AAAAAAVrs0s=")</f>
        <v>1</v>
      </c>
      <c r="BY10" t="e">
        <f>AND('Female Individual Rope Singles'!I10,"AAAAAAVrs0w=")</f>
        <v>#VALUE!</v>
      </c>
      <c r="BZ10" t="b">
        <f>AND('Female Individual Rope Singles'!J10,"AAAAAAVrs00=")</f>
        <v>1</v>
      </c>
      <c r="CA10" t="e">
        <f>AND('Female Individual Rope Singles'!K10,"AAAAAAVrs04=")</f>
        <v>#VALUE!</v>
      </c>
      <c r="CB10" t="e">
        <f>AND('Female Individual Rope Singles'!L10,"AAAAAAVrs08=")</f>
        <v>#VALUE!</v>
      </c>
      <c r="CC10" t="e">
        <f>AND('Female Individual Rope Singles'!M10,"AAAAAAVrs1A=")</f>
        <v>#VALUE!</v>
      </c>
      <c r="CD10">
        <f>IF('Female Individual Rope Singles'!11:11,"AAAAAAVrs1E=",0)</f>
        <v>0</v>
      </c>
      <c r="CE10" t="b">
        <f>AND('Female Individual Rope Singles'!A11,"AAAAAAVrs1I=")</f>
        <v>1</v>
      </c>
      <c r="CF10" t="e">
        <f>AND('Female Individual Rope Singles'!B11,"AAAAAAVrs1M=")</f>
        <v>#VALUE!</v>
      </c>
      <c r="CG10" t="e">
        <f>AND('Female Individual Rope Singles'!C11,"AAAAAAVrs1Q=")</f>
        <v>#VALUE!</v>
      </c>
      <c r="CH10" t="e">
        <f>AND('Female Individual Rope Singles'!D11,"AAAAAAVrs1U=")</f>
        <v>#VALUE!</v>
      </c>
      <c r="CI10" t="e">
        <f>AND('Female Individual Rope Singles'!E11,"AAAAAAVrs1Y=")</f>
        <v>#VALUE!</v>
      </c>
      <c r="CJ10" t="e">
        <f>AND('Female Individual Rope Singles'!F11,"AAAAAAVrs1c=")</f>
        <v>#VALUE!</v>
      </c>
      <c r="CK10" t="e">
        <f>AND('Female Individual Rope Singles'!G11,"AAAAAAVrs1g=")</f>
        <v>#VALUE!</v>
      </c>
      <c r="CL10" t="b">
        <f>AND('Female Individual Rope Singles'!H11,"AAAAAAVrs1k=")</f>
        <v>1</v>
      </c>
      <c r="CM10" t="e">
        <f>AND('Female Individual Rope Singles'!I11,"AAAAAAVrs1o=")</f>
        <v>#VALUE!</v>
      </c>
      <c r="CN10" t="b">
        <f>AND('Female Individual Rope Singles'!J11,"AAAAAAVrs1s=")</f>
        <v>1</v>
      </c>
      <c r="CO10" t="e">
        <f>AND('Female Individual Rope Singles'!K11,"AAAAAAVrs1w=")</f>
        <v>#VALUE!</v>
      </c>
      <c r="CP10" t="e">
        <f>AND('Female Individual Rope Singles'!L11,"AAAAAAVrs10=")</f>
        <v>#VALUE!</v>
      </c>
      <c r="CQ10" t="e">
        <f>AND('Female Individual Rope Singles'!M11,"AAAAAAVrs14=")</f>
        <v>#VALUE!</v>
      </c>
      <c r="CR10">
        <f>IF('Female Individual Rope Singles'!12:12,"AAAAAAVrs18=",0)</f>
        <v>0</v>
      </c>
      <c r="CS10" t="b">
        <f>AND('Female Individual Rope Singles'!A12,"AAAAAAVrs2A=")</f>
        <v>1</v>
      </c>
      <c r="CT10" t="e">
        <f>AND('Female Individual Rope Singles'!B12,"AAAAAAVrs2E=")</f>
        <v>#VALUE!</v>
      </c>
      <c r="CU10" t="e">
        <f>AND('Female Individual Rope Singles'!C12,"AAAAAAVrs2I=")</f>
        <v>#VALUE!</v>
      </c>
      <c r="CV10" t="e">
        <f>AND('Female Individual Rope Singles'!D12,"AAAAAAVrs2M=")</f>
        <v>#VALUE!</v>
      </c>
      <c r="CW10" t="e">
        <f>AND('Female Individual Rope Singles'!E12,"AAAAAAVrs2Q=")</f>
        <v>#VALUE!</v>
      </c>
      <c r="CX10" t="e">
        <f>AND('Female Individual Rope Singles'!F12,"AAAAAAVrs2U=")</f>
        <v>#VALUE!</v>
      </c>
      <c r="CY10" t="e">
        <f>AND('Female Individual Rope Singles'!G12,"AAAAAAVrs2Y=")</f>
        <v>#VALUE!</v>
      </c>
      <c r="CZ10" t="b">
        <f>AND('Female Individual Rope Singles'!H12,"AAAAAAVrs2c=")</f>
        <v>1</v>
      </c>
      <c r="DA10" t="e">
        <f>AND('Female Individual Rope Singles'!I12,"AAAAAAVrs2g=")</f>
        <v>#VALUE!</v>
      </c>
      <c r="DB10" t="b">
        <f>AND('Female Individual Rope Singles'!J12,"AAAAAAVrs2k=")</f>
        <v>1</v>
      </c>
      <c r="DC10" t="e">
        <f>AND('Female Individual Rope Singles'!K12,"AAAAAAVrs2o=")</f>
        <v>#VALUE!</v>
      </c>
      <c r="DD10" t="e">
        <f>AND('Female Individual Rope Singles'!L12,"AAAAAAVrs2s=")</f>
        <v>#VALUE!</v>
      </c>
      <c r="DE10" t="e">
        <f>AND('Female Individual Rope Singles'!M12,"AAAAAAVrs2w=")</f>
        <v>#VALUE!</v>
      </c>
      <c r="DF10">
        <f>IF('Female Individual Rope Singles'!13:13,"AAAAAAVrs20=",0)</f>
        <v>0</v>
      </c>
      <c r="DG10" t="b">
        <f>AND('Female Individual Rope Singles'!A13,"AAAAAAVrs24=")</f>
        <v>1</v>
      </c>
      <c r="DH10" t="e">
        <f>AND('Female Individual Rope Singles'!B13,"AAAAAAVrs28=")</f>
        <v>#VALUE!</v>
      </c>
      <c r="DI10" t="e">
        <f>AND('Female Individual Rope Singles'!C13,"AAAAAAVrs3A=")</f>
        <v>#VALUE!</v>
      </c>
      <c r="DJ10" t="e">
        <f>AND('Female Individual Rope Singles'!D13,"AAAAAAVrs3E=")</f>
        <v>#VALUE!</v>
      </c>
      <c r="DK10" t="e">
        <f>AND('Female Individual Rope Singles'!E13,"AAAAAAVrs3I=")</f>
        <v>#VALUE!</v>
      </c>
      <c r="DL10" t="e">
        <f>AND('Female Individual Rope Singles'!F13,"AAAAAAVrs3M=")</f>
        <v>#VALUE!</v>
      </c>
      <c r="DM10" t="e">
        <f>AND('Female Individual Rope Singles'!G13,"AAAAAAVrs3Q=")</f>
        <v>#VALUE!</v>
      </c>
      <c r="DN10" t="b">
        <f>AND('Female Individual Rope Singles'!H13,"AAAAAAVrs3U=")</f>
        <v>1</v>
      </c>
      <c r="DO10" t="e">
        <f>AND('Female Individual Rope Singles'!I13,"AAAAAAVrs3Y=")</f>
        <v>#VALUE!</v>
      </c>
      <c r="DP10" t="b">
        <f>AND('Female Individual Rope Singles'!J13,"AAAAAAVrs3c=")</f>
        <v>1</v>
      </c>
      <c r="DQ10" t="e">
        <f>AND('Female Individual Rope Singles'!K13,"AAAAAAVrs3g=")</f>
        <v>#VALUE!</v>
      </c>
      <c r="DR10" t="e">
        <f>AND('Female Individual Rope Singles'!L13,"AAAAAAVrs3k=")</f>
        <v>#VALUE!</v>
      </c>
      <c r="DS10" t="e">
        <f>AND('Female Individual Rope Singles'!M13,"AAAAAAVrs3o=")</f>
        <v>#VALUE!</v>
      </c>
      <c r="DT10">
        <f>IF('Female Individual Rope Singles'!14:14,"AAAAAAVrs3s=",0)</f>
        <v>0</v>
      </c>
      <c r="DU10" t="b">
        <f>AND('Female Individual Rope Singles'!A14,"AAAAAAVrs3w=")</f>
        <v>1</v>
      </c>
      <c r="DV10" t="e">
        <f>AND('Female Individual Rope Singles'!B14,"AAAAAAVrs30=")</f>
        <v>#VALUE!</v>
      </c>
      <c r="DW10" t="e">
        <f>AND('Female Individual Rope Singles'!C14,"AAAAAAVrs34=")</f>
        <v>#VALUE!</v>
      </c>
      <c r="DX10" t="e">
        <f>AND('Female Individual Rope Singles'!D14,"AAAAAAVrs38=")</f>
        <v>#VALUE!</v>
      </c>
      <c r="DY10" t="e">
        <f>AND('Female Individual Rope Singles'!E14,"AAAAAAVrs4A=")</f>
        <v>#VALUE!</v>
      </c>
      <c r="DZ10" t="e">
        <f>AND('Female Individual Rope Singles'!F14,"AAAAAAVrs4E=")</f>
        <v>#VALUE!</v>
      </c>
      <c r="EA10" t="e">
        <f>AND('Female Individual Rope Singles'!G14,"AAAAAAVrs4I=")</f>
        <v>#VALUE!</v>
      </c>
      <c r="EB10" t="b">
        <f>AND('Female Individual Rope Singles'!H14,"AAAAAAVrs4M=")</f>
        <v>1</v>
      </c>
      <c r="EC10" t="e">
        <f>AND('Female Individual Rope Singles'!I14,"AAAAAAVrs4Q=")</f>
        <v>#VALUE!</v>
      </c>
      <c r="ED10" t="b">
        <f>AND('Female Individual Rope Singles'!J14,"AAAAAAVrs4U=")</f>
        <v>1</v>
      </c>
      <c r="EE10" t="e">
        <f>AND('Female Individual Rope Singles'!K14,"AAAAAAVrs4Y=")</f>
        <v>#VALUE!</v>
      </c>
      <c r="EF10" t="e">
        <f>AND('Female Individual Rope Singles'!L14,"AAAAAAVrs4c=")</f>
        <v>#VALUE!</v>
      </c>
      <c r="EG10" t="e">
        <f>AND('Female Individual Rope Singles'!M14,"AAAAAAVrs4g=")</f>
        <v>#VALUE!</v>
      </c>
      <c r="EH10">
        <f>IF('Female Individual Rope Singles'!15:15,"AAAAAAVrs4k=",0)</f>
        <v>0</v>
      </c>
      <c r="EI10" t="b">
        <f>AND('Female Individual Rope Singles'!A15,"AAAAAAVrs4o=")</f>
        <v>1</v>
      </c>
      <c r="EJ10" t="e">
        <f>AND('Female Individual Rope Singles'!B15,"AAAAAAVrs4s=")</f>
        <v>#VALUE!</v>
      </c>
      <c r="EK10" t="e">
        <f>AND('Female Individual Rope Singles'!C15,"AAAAAAVrs4w=")</f>
        <v>#VALUE!</v>
      </c>
      <c r="EL10" t="e">
        <f>AND('Female Individual Rope Singles'!D15,"AAAAAAVrs40=")</f>
        <v>#VALUE!</v>
      </c>
      <c r="EM10" t="e">
        <f>AND('Female Individual Rope Singles'!E15,"AAAAAAVrs44=")</f>
        <v>#VALUE!</v>
      </c>
      <c r="EN10" t="e">
        <f>AND('Female Individual Rope Singles'!F15,"AAAAAAVrs48=")</f>
        <v>#VALUE!</v>
      </c>
      <c r="EO10" t="e">
        <f>AND('Female Individual Rope Singles'!G15,"AAAAAAVrs5A=")</f>
        <v>#VALUE!</v>
      </c>
      <c r="EP10" t="b">
        <f>AND('Female Individual Rope Singles'!H15,"AAAAAAVrs5E=")</f>
        <v>1</v>
      </c>
      <c r="EQ10" t="e">
        <f>AND('Female Individual Rope Singles'!I15,"AAAAAAVrs5I=")</f>
        <v>#VALUE!</v>
      </c>
      <c r="ER10" t="e">
        <f>AND('Female Individual Rope Singles'!J15,"AAAAAAVrs5M=")</f>
        <v>#VALUE!</v>
      </c>
      <c r="ES10" t="e">
        <f>AND('Female Individual Rope Singles'!K15,"AAAAAAVrs5Q=")</f>
        <v>#VALUE!</v>
      </c>
      <c r="ET10" t="e">
        <f>AND('Female Individual Rope Singles'!L15,"AAAAAAVrs5U=")</f>
        <v>#VALUE!</v>
      </c>
      <c r="EU10" t="e">
        <f>AND('Female Individual Rope Singles'!M15,"AAAAAAVrs5Y=")</f>
        <v>#VALUE!</v>
      </c>
      <c r="EV10">
        <f>IF('Female Individual Rope Singles'!16:16,"AAAAAAVrs5c=",0)</f>
        <v>0</v>
      </c>
      <c r="EW10" t="e">
        <f>AND('Female Individual Rope Singles'!A16,"AAAAAAVrs5g=")</f>
        <v>#VALUE!</v>
      </c>
      <c r="EX10" t="e">
        <f>AND('Female Individual Rope Singles'!B16,"AAAAAAVrs5k=")</f>
        <v>#VALUE!</v>
      </c>
      <c r="EY10" t="e">
        <f>AND('Female Individual Rope Singles'!C16,"AAAAAAVrs5o=")</f>
        <v>#VALUE!</v>
      </c>
      <c r="EZ10" t="e">
        <f>AND('Female Individual Rope Singles'!D16,"AAAAAAVrs5s=")</f>
        <v>#VALUE!</v>
      </c>
      <c r="FA10" t="e">
        <f>AND('Female Individual Rope Singles'!E16,"AAAAAAVrs5w=")</f>
        <v>#VALUE!</v>
      </c>
      <c r="FB10" t="e">
        <f>AND('Female Individual Rope Singles'!F16,"AAAAAAVrs50=")</f>
        <v>#VALUE!</v>
      </c>
      <c r="FC10" t="e">
        <f>AND('Female Individual Rope Singles'!G16,"AAAAAAVrs54=")</f>
        <v>#VALUE!</v>
      </c>
      <c r="FD10" t="e">
        <f>AND('Female Individual Rope Singles'!H16,"AAAAAAVrs58=")</f>
        <v>#VALUE!</v>
      </c>
      <c r="FE10" t="e">
        <f>AND('Female Individual Rope Singles'!I16,"AAAAAAVrs6A=")</f>
        <v>#VALUE!</v>
      </c>
      <c r="FF10" t="e">
        <f>AND('Female Individual Rope Singles'!J16,"AAAAAAVrs6E=")</f>
        <v>#VALUE!</v>
      </c>
      <c r="FG10" t="e">
        <f>AND('Female Individual Rope Singles'!K16,"AAAAAAVrs6I=")</f>
        <v>#VALUE!</v>
      </c>
      <c r="FH10" t="e">
        <f>AND('Female Individual Rope Singles'!L16,"AAAAAAVrs6M=")</f>
        <v>#VALUE!</v>
      </c>
      <c r="FI10" t="e">
        <f>AND('Female Individual Rope Singles'!M16,"AAAAAAVrs6Q=")</f>
        <v>#VALUE!</v>
      </c>
      <c r="FJ10">
        <f>IF('Female Individual Rope Singles'!17:17,"AAAAAAVrs6U=",0)</f>
        <v>0</v>
      </c>
      <c r="FK10" t="b">
        <f>AND('Female Individual Rope Singles'!A17,"AAAAAAVrs6Y=")</f>
        <v>1</v>
      </c>
      <c r="FL10" t="e">
        <f>AND('Female Individual Rope Singles'!B17,"AAAAAAVrs6c=")</f>
        <v>#VALUE!</v>
      </c>
      <c r="FM10" t="b">
        <f>AND('Female Individual Rope Singles'!C17,"AAAAAAVrs6g=")</f>
        <v>1</v>
      </c>
      <c r="FN10" t="e">
        <f>AND('Female Individual Rope Singles'!D17,"AAAAAAVrs6k=")</f>
        <v>#VALUE!</v>
      </c>
      <c r="FO10" t="e">
        <f>AND('Female Individual Rope Singles'!E17,"AAAAAAVrs6o=")</f>
        <v>#VALUE!</v>
      </c>
      <c r="FP10" t="e">
        <f>AND('Female Individual Rope Singles'!F17,"AAAAAAVrs6s=")</f>
        <v>#VALUE!</v>
      </c>
      <c r="FQ10" t="e">
        <f>AND('Female Individual Rope Singles'!G17,"AAAAAAVrs6w=")</f>
        <v>#VALUE!</v>
      </c>
      <c r="FR10" t="b">
        <f>AND('Female Individual Rope Singles'!H17,"AAAAAAVrs60=")</f>
        <v>1</v>
      </c>
      <c r="FS10" t="e">
        <f>AND('Female Individual Rope Singles'!I17,"AAAAAAVrs64=")</f>
        <v>#VALUE!</v>
      </c>
      <c r="FT10" t="b">
        <f>AND('Female Individual Rope Singles'!J17,"AAAAAAVrs68=")</f>
        <v>1</v>
      </c>
      <c r="FU10" t="e">
        <f>AND('Female Individual Rope Singles'!K17,"AAAAAAVrs7A=")</f>
        <v>#VALUE!</v>
      </c>
      <c r="FV10" t="e">
        <f>AND('Female Individual Rope Singles'!L17,"AAAAAAVrs7E=")</f>
        <v>#VALUE!</v>
      </c>
      <c r="FW10" t="e">
        <f>AND('Female Individual Rope Singles'!M17,"AAAAAAVrs7I=")</f>
        <v>#VALUE!</v>
      </c>
      <c r="FX10">
        <f>IF('Female Individual Rope Singles'!18:18,"AAAAAAVrs7M=",0)</f>
        <v>0</v>
      </c>
      <c r="FY10" t="b">
        <f>AND('Female Individual Rope Singles'!A18,"AAAAAAVrs7Q=")</f>
        <v>1</v>
      </c>
      <c r="FZ10" t="e">
        <f>AND('Female Individual Rope Singles'!B18,"AAAAAAVrs7U=")</f>
        <v>#VALUE!</v>
      </c>
      <c r="GA10" t="b">
        <f>AND('Female Individual Rope Singles'!C18,"AAAAAAVrs7Y=")</f>
        <v>1</v>
      </c>
      <c r="GB10" t="e">
        <f>AND('Female Individual Rope Singles'!D18,"AAAAAAVrs7c=")</f>
        <v>#VALUE!</v>
      </c>
      <c r="GC10" t="e">
        <f>AND('Female Individual Rope Singles'!E18,"AAAAAAVrs7g=")</f>
        <v>#VALUE!</v>
      </c>
      <c r="GD10" t="e">
        <f>AND('Female Individual Rope Singles'!F18,"AAAAAAVrs7k=")</f>
        <v>#VALUE!</v>
      </c>
      <c r="GE10" t="e">
        <f>AND('Female Individual Rope Singles'!G18,"AAAAAAVrs7o=")</f>
        <v>#VALUE!</v>
      </c>
      <c r="GF10" t="b">
        <f>AND('Female Individual Rope Singles'!H18,"AAAAAAVrs7s=")</f>
        <v>1</v>
      </c>
      <c r="GG10" t="e">
        <f>AND('Female Individual Rope Singles'!I18,"AAAAAAVrs7w=")</f>
        <v>#VALUE!</v>
      </c>
      <c r="GH10" t="b">
        <f>AND('Female Individual Rope Singles'!J18,"AAAAAAVrs70=")</f>
        <v>1</v>
      </c>
      <c r="GI10" t="e">
        <f>AND('Female Individual Rope Singles'!K18,"AAAAAAVrs74=")</f>
        <v>#VALUE!</v>
      </c>
      <c r="GJ10" t="e">
        <f>AND('Female Individual Rope Singles'!L18,"AAAAAAVrs78=")</f>
        <v>#VALUE!</v>
      </c>
      <c r="GK10" t="e">
        <f>AND('Female Individual Rope Singles'!M18,"AAAAAAVrs8A=")</f>
        <v>#VALUE!</v>
      </c>
      <c r="GL10">
        <f>IF('Female Individual Rope Singles'!19:19,"AAAAAAVrs8E=",0)</f>
        <v>0</v>
      </c>
      <c r="GM10" t="b">
        <f>AND('Female Individual Rope Singles'!A19,"AAAAAAVrs8I=")</f>
        <v>1</v>
      </c>
      <c r="GN10" t="e">
        <f>AND('Female Individual Rope Singles'!B19,"AAAAAAVrs8M=")</f>
        <v>#VALUE!</v>
      </c>
      <c r="GO10" t="b">
        <f>AND('Female Individual Rope Singles'!C19,"AAAAAAVrs8Q=")</f>
        <v>1</v>
      </c>
      <c r="GP10" t="e">
        <f>AND('Female Individual Rope Singles'!D19,"AAAAAAVrs8U=")</f>
        <v>#VALUE!</v>
      </c>
      <c r="GQ10" t="e">
        <f>AND('Female Individual Rope Singles'!E19,"AAAAAAVrs8Y=")</f>
        <v>#VALUE!</v>
      </c>
      <c r="GR10" t="e">
        <f>AND('Female Individual Rope Singles'!F19,"AAAAAAVrs8c=")</f>
        <v>#VALUE!</v>
      </c>
      <c r="GS10" t="e">
        <f>AND('Female Individual Rope Singles'!G19,"AAAAAAVrs8g=")</f>
        <v>#VALUE!</v>
      </c>
      <c r="GT10" t="b">
        <f>AND('Female Individual Rope Singles'!H19,"AAAAAAVrs8k=")</f>
        <v>1</v>
      </c>
      <c r="GU10" t="e">
        <f>AND('Female Individual Rope Singles'!I19,"AAAAAAVrs8o=")</f>
        <v>#VALUE!</v>
      </c>
      <c r="GV10" t="b">
        <f>AND('Female Individual Rope Singles'!J19,"AAAAAAVrs8s=")</f>
        <v>1</v>
      </c>
      <c r="GW10" t="e">
        <f>AND('Female Individual Rope Singles'!K19,"AAAAAAVrs8w=")</f>
        <v>#VALUE!</v>
      </c>
      <c r="GX10" t="e">
        <f>AND('Female Individual Rope Singles'!L19,"AAAAAAVrs80=")</f>
        <v>#VALUE!</v>
      </c>
      <c r="GY10" t="e">
        <f>AND('Female Individual Rope Singles'!M19,"AAAAAAVrs84=")</f>
        <v>#VALUE!</v>
      </c>
      <c r="GZ10">
        <f>IF('Female Individual Rope Singles'!20:20,"AAAAAAVrs88=",0)</f>
        <v>0</v>
      </c>
      <c r="HA10" t="b">
        <f>AND('Female Individual Rope Singles'!A20,"AAAAAAVrs9A=")</f>
        <v>1</v>
      </c>
      <c r="HB10" t="e">
        <f>AND('Female Individual Rope Singles'!B20,"AAAAAAVrs9E=")</f>
        <v>#VALUE!</v>
      </c>
      <c r="HC10" t="b">
        <f>AND('Female Individual Rope Singles'!C20,"AAAAAAVrs9I=")</f>
        <v>1</v>
      </c>
      <c r="HD10" t="e">
        <f>AND('Female Individual Rope Singles'!D20,"AAAAAAVrs9M=")</f>
        <v>#VALUE!</v>
      </c>
      <c r="HE10" t="e">
        <f>AND('Female Individual Rope Singles'!E20,"AAAAAAVrs9Q=")</f>
        <v>#VALUE!</v>
      </c>
      <c r="HF10" t="e">
        <f>AND('Female Individual Rope Singles'!F20,"AAAAAAVrs9U=")</f>
        <v>#VALUE!</v>
      </c>
      <c r="HG10" t="e">
        <f>AND('Female Individual Rope Singles'!G20,"AAAAAAVrs9Y=")</f>
        <v>#VALUE!</v>
      </c>
      <c r="HH10" t="b">
        <f>AND('Female Individual Rope Singles'!H20,"AAAAAAVrs9c=")</f>
        <v>1</v>
      </c>
      <c r="HI10" t="e">
        <f>AND('Female Individual Rope Singles'!I20,"AAAAAAVrs9g=")</f>
        <v>#VALUE!</v>
      </c>
      <c r="HJ10" t="b">
        <f>AND('Female Individual Rope Singles'!J20,"AAAAAAVrs9k=")</f>
        <v>1</v>
      </c>
      <c r="HK10" t="e">
        <f>AND('Female Individual Rope Singles'!K20,"AAAAAAVrs9o=")</f>
        <v>#VALUE!</v>
      </c>
      <c r="HL10" t="e">
        <f>AND('Female Individual Rope Singles'!L20,"AAAAAAVrs9s=")</f>
        <v>#VALUE!</v>
      </c>
      <c r="HM10" t="e">
        <f>AND('Female Individual Rope Singles'!M20,"AAAAAAVrs9w=")</f>
        <v>#VALUE!</v>
      </c>
      <c r="HN10">
        <f>IF('Female Individual Rope Singles'!21:21,"AAAAAAVrs90=",0)</f>
        <v>0</v>
      </c>
      <c r="HO10" t="b">
        <f>AND('Female Individual Rope Singles'!A21,"AAAAAAVrs94=")</f>
        <v>1</v>
      </c>
      <c r="HP10" t="e">
        <f>AND('Female Individual Rope Singles'!B21,"AAAAAAVrs98=")</f>
        <v>#VALUE!</v>
      </c>
      <c r="HQ10" t="b">
        <f>AND('Female Individual Rope Singles'!C21,"AAAAAAVrs+A=")</f>
        <v>1</v>
      </c>
      <c r="HR10" t="e">
        <f>AND('Female Individual Rope Singles'!D21,"AAAAAAVrs+E=")</f>
        <v>#VALUE!</v>
      </c>
      <c r="HS10" t="e">
        <f>AND('Female Individual Rope Singles'!E21,"AAAAAAVrs+I=")</f>
        <v>#VALUE!</v>
      </c>
      <c r="HT10" t="e">
        <f>AND('Female Individual Rope Singles'!F21,"AAAAAAVrs+M=")</f>
        <v>#VALUE!</v>
      </c>
      <c r="HU10" t="e">
        <f>AND('Female Individual Rope Singles'!G21,"AAAAAAVrs+Q=")</f>
        <v>#VALUE!</v>
      </c>
      <c r="HV10" t="b">
        <f>AND('Female Individual Rope Singles'!H21,"AAAAAAVrs+U=")</f>
        <v>1</v>
      </c>
      <c r="HW10" t="e">
        <f>AND('Female Individual Rope Singles'!I21,"AAAAAAVrs+Y=")</f>
        <v>#VALUE!</v>
      </c>
      <c r="HX10" t="b">
        <f>AND('Female Individual Rope Singles'!J21,"AAAAAAVrs+c=")</f>
        <v>1</v>
      </c>
      <c r="HY10" t="e">
        <f>AND('Female Individual Rope Singles'!K21,"AAAAAAVrs+g=")</f>
        <v>#VALUE!</v>
      </c>
      <c r="HZ10" t="e">
        <f>AND('Female Individual Rope Singles'!L21,"AAAAAAVrs+k=")</f>
        <v>#VALUE!</v>
      </c>
      <c r="IA10" t="e">
        <f>AND('Female Individual Rope Singles'!M21,"AAAAAAVrs+o=")</f>
        <v>#VALUE!</v>
      </c>
      <c r="IB10">
        <f>IF('Female Individual Rope Singles'!22:22,"AAAAAAVrs+s=",0)</f>
        <v>0</v>
      </c>
      <c r="IC10" t="b">
        <f>AND('Female Individual Rope Singles'!A22,"AAAAAAVrs+w=")</f>
        <v>1</v>
      </c>
      <c r="ID10" t="e">
        <f>AND('Female Individual Rope Singles'!B22,"AAAAAAVrs+0=")</f>
        <v>#VALUE!</v>
      </c>
      <c r="IE10" t="b">
        <f>AND('Female Individual Rope Singles'!C22,"AAAAAAVrs+4=")</f>
        <v>1</v>
      </c>
      <c r="IF10" t="e">
        <f>AND('Female Individual Rope Singles'!D22,"AAAAAAVrs+8=")</f>
        <v>#VALUE!</v>
      </c>
      <c r="IG10" t="e">
        <f>AND('Female Individual Rope Singles'!E22,"AAAAAAVrs/A=")</f>
        <v>#VALUE!</v>
      </c>
      <c r="IH10" t="e">
        <f>AND('Female Individual Rope Singles'!F22,"AAAAAAVrs/E=")</f>
        <v>#VALUE!</v>
      </c>
      <c r="II10" t="e">
        <f>AND('Female Individual Rope Singles'!G22,"AAAAAAVrs/I=")</f>
        <v>#VALUE!</v>
      </c>
      <c r="IJ10" t="b">
        <f>AND('Female Individual Rope Singles'!H22,"AAAAAAVrs/M=")</f>
        <v>1</v>
      </c>
      <c r="IK10" t="e">
        <f>AND('Female Individual Rope Singles'!I22,"AAAAAAVrs/Q=")</f>
        <v>#VALUE!</v>
      </c>
      <c r="IL10" t="b">
        <f>AND('Female Individual Rope Singles'!J22,"AAAAAAVrs/U=")</f>
        <v>1</v>
      </c>
      <c r="IM10" t="e">
        <f>AND('Female Individual Rope Singles'!K22,"AAAAAAVrs/Y=")</f>
        <v>#VALUE!</v>
      </c>
      <c r="IN10" t="e">
        <f>AND('Female Individual Rope Singles'!L22,"AAAAAAVrs/c=")</f>
        <v>#VALUE!</v>
      </c>
      <c r="IO10" t="e">
        <f>AND('Female Individual Rope Singles'!M22,"AAAAAAVrs/g=")</f>
        <v>#VALUE!</v>
      </c>
      <c r="IP10">
        <f>IF('Female Individual Rope Singles'!23:23,"AAAAAAVrs/k=",0)</f>
        <v>0</v>
      </c>
      <c r="IQ10" t="b">
        <f>AND('Female Individual Rope Singles'!A23,"AAAAAAVrs/o=")</f>
        <v>1</v>
      </c>
      <c r="IR10" t="e">
        <f>AND('Female Individual Rope Singles'!B23,"AAAAAAVrs/s=")</f>
        <v>#VALUE!</v>
      </c>
      <c r="IS10" t="b">
        <f>AND('Female Individual Rope Singles'!C23,"AAAAAAVrs/w=")</f>
        <v>1</v>
      </c>
      <c r="IT10" t="e">
        <f>AND('Female Individual Rope Singles'!D23,"AAAAAAVrs/0=")</f>
        <v>#VALUE!</v>
      </c>
      <c r="IU10" t="e">
        <f>AND('Female Individual Rope Singles'!E23,"AAAAAAVrs/4=")</f>
        <v>#VALUE!</v>
      </c>
      <c r="IV10" t="e">
        <f>AND('Female Individual Rope Singles'!F23,"AAAAAAVrs/8=")</f>
        <v>#VALUE!</v>
      </c>
    </row>
    <row r="11" spans="1:256" x14ac:dyDescent="0.25">
      <c r="A11" t="e">
        <f>AND('Female Individual Rope Singles'!G23,"AAAAAHV/7gA=")</f>
        <v>#VALUE!</v>
      </c>
      <c r="B11" t="b">
        <f>AND('Female Individual Rope Singles'!H23,"AAAAAHV/7gE=")</f>
        <v>1</v>
      </c>
      <c r="C11" t="e">
        <f>AND('Female Individual Rope Singles'!I23,"AAAAAHV/7gI=")</f>
        <v>#VALUE!</v>
      </c>
      <c r="D11" t="b">
        <f>AND('Female Individual Rope Singles'!J23,"AAAAAHV/7gM=")</f>
        <v>1</v>
      </c>
      <c r="E11" t="e">
        <f>AND('Female Individual Rope Singles'!K23,"AAAAAHV/7gQ=")</f>
        <v>#VALUE!</v>
      </c>
      <c r="F11" t="e">
        <f>AND('Female Individual Rope Singles'!L23,"AAAAAHV/7gU=")</f>
        <v>#VALUE!</v>
      </c>
      <c r="G11" t="e">
        <f>AND('Female Individual Rope Singles'!M23,"AAAAAHV/7gY=")</f>
        <v>#VALUE!</v>
      </c>
      <c r="H11" t="str">
        <f>IF('Female Individual Rope Singles'!24:24,"AAAAAHV/7gc=",0)</f>
        <v>AAAAAHV/7gc=</v>
      </c>
      <c r="I11" t="b">
        <f>AND('Female Individual Rope Singles'!A24,"AAAAAHV/7gg=")</f>
        <v>1</v>
      </c>
      <c r="J11" t="e">
        <f>AND('Female Individual Rope Singles'!B24,"AAAAAHV/7gk=")</f>
        <v>#VALUE!</v>
      </c>
      <c r="K11" t="b">
        <f>AND('Female Individual Rope Singles'!C24,"AAAAAHV/7go=")</f>
        <v>1</v>
      </c>
      <c r="L11" t="e">
        <f>AND('Female Individual Rope Singles'!D24,"AAAAAHV/7gs=")</f>
        <v>#VALUE!</v>
      </c>
      <c r="M11" t="e">
        <f>AND('Female Individual Rope Singles'!E24,"AAAAAHV/7gw=")</f>
        <v>#VALUE!</v>
      </c>
      <c r="N11" t="e">
        <f>AND('Female Individual Rope Singles'!F24,"AAAAAHV/7g0=")</f>
        <v>#VALUE!</v>
      </c>
      <c r="O11" t="e">
        <f>AND('Female Individual Rope Singles'!G24,"AAAAAHV/7g4=")</f>
        <v>#VALUE!</v>
      </c>
      <c r="P11" t="b">
        <f>AND('Female Individual Rope Singles'!H24,"AAAAAHV/7g8=")</f>
        <v>1</v>
      </c>
      <c r="Q11" t="e">
        <f>AND('Female Individual Rope Singles'!I24,"AAAAAHV/7hA=")</f>
        <v>#VALUE!</v>
      </c>
      <c r="R11" t="b">
        <f>AND('Female Individual Rope Singles'!J24,"AAAAAHV/7hE=")</f>
        <v>1</v>
      </c>
      <c r="S11" t="e">
        <f>AND('Female Individual Rope Singles'!K24,"AAAAAHV/7hI=")</f>
        <v>#VALUE!</v>
      </c>
      <c r="T11" t="e">
        <f>AND('Female Individual Rope Singles'!L24,"AAAAAHV/7hM=")</f>
        <v>#VALUE!</v>
      </c>
      <c r="U11" t="e">
        <f>AND('Female Individual Rope Singles'!M24,"AAAAAHV/7hQ=")</f>
        <v>#VALUE!</v>
      </c>
      <c r="V11">
        <f>IF('Female Individual Rope Singles'!25:25,"AAAAAHV/7hU=",0)</f>
        <v>0</v>
      </c>
      <c r="W11" t="b">
        <f>AND('Female Individual Rope Singles'!A25,"AAAAAHV/7hY=")</f>
        <v>1</v>
      </c>
      <c r="X11" t="e">
        <f>AND('Female Individual Rope Singles'!B25,"AAAAAHV/7hc=")</f>
        <v>#VALUE!</v>
      </c>
      <c r="Y11" t="b">
        <f>AND('Female Individual Rope Singles'!C25,"AAAAAHV/7hg=")</f>
        <v>1</v>
      </c>
      <c r="Z11" t="e">
        <f>AND('Female Individual Rope Singles'!D25,"AAAAAHV/7hk=")</f>
        <v>#VALUE!</v>
      </c>
      <c r="AA11" t="e">
        <f>AND('Female Individual Rope Singles'!E25,"AAAAAHV/7ho=")</f>
        <v>#VALUE!</v>
      </c>
      <c r="AB11" t="e">
        <f>AND('Female Individual Rope Singles'!F25,"AAAAAHV/7hs=")</f>
        <v>#VALUE!</v>
      </c>
      <c r="AC11" t="e">
        <f>AND('Female Individual Rope Singles'!G25,"AAAAAHV/7hw=")</f>
        <v>#VALUE!</v>
      </c>
      <c r="AD11" t="b">
        <f>AND('Female Individual Rope Singles'!H25,"AAAAAHV/7h0=")</f>
        <v>1</v>
      </c>
      <c r="AE11" t="e">
        <f>AND('Female Individual Rope Singles'!I25,"AAAAAHV/7h4=")</f>
        <v>#VALUE!</v>
      </c>
      <c r="AF11" t="b">
        <f>AND('Female Individual Rope Singles'!J25,"AAAAAHV/7h8=")</f>
        <v>1</v>
      </c>
      <c r="AG11" t="e">
        <f>AND('Female Individual Rope Singles'!K25,"AAAAAHV/7iA=")</f>
        <v>#VALUE!</v>
      </c>
      <c r="AH11" t="e">
        <f>AND('Female Individual Rope Singles'!L25,"AAAAAHV/7iE=")</f>
        <v>#VALUE!</v>
      </c>
      <c r="AI11" t="e">
        <f>AND('Female Individual Rope Singles'!M25,"AAAAAHV/7iI=")</f>
        <v>#VALUE!</v>
      </c>
      <c r="AJ11">
        <f>IF('Female Individual Rope Singles'!26:26,"AAAAAHV/7iM=",0)</f>
        <v>0</v>
      </c>
      <c r="AK11" t="b">
        <f>AND('Female Individual Rope Singles'!A26,"AAAAAHV/7iQ=")</f>
        <v>1</v>
      </c>
      <c r="AL11" t="e">
        <f>AND('Female Individual Rope Singles'!B26,"AAAAAHV/7iU=")</f>
        <v>#VALUE!</v>
      </c>
      <c r="AM11" t="b">
        <f>AND('Female Individual Rope Singles'!C26,"AAAAAHV/7iY=")</f>
        <v>1</v>
      </c>
      <c r="AN11" t="e">
        <f>AND('Female Individual Rope Singles'!D26,"AAAAAHV/7ic=")</f>
        <v>#VALUE!</v>
      </c>
      <c r="AO11" t="e">
        <f>AND('Female Individual Rope Singles'!E26,"AAAAAHV/7ig=")</f>
        <v>#VALUE!</v>
      </c>
      <c r="AP11" t="e">
        <f>AND('Female Individual Rope Singles'!F26,"AAAAAHV/7ik=")</f>
        <v>#VALUE!</v>
      </c>
      <c r="AQ11" t="e">
        <f>AND('Female Individual Rope Singles'!G26,"AAAAAHV/7io=")</f>
        <v>#VALUE!</v>
      </c>
      <c r="AR11" t="b">
        <f>AND('Female Individual Rope Singles'!H26,"AAAAAHV/7is=")</f>
        <v>1</v>
      </c>
      <c r="AS11" t="e">
        <f>AND('Female Individual Rope Singles'!I26,"AAAAAHV/7iw=")</f>
        <v>#VALUE!</v>
      </c>
      <c r="AT11" t="b">
        <f>AND('Female Individual Rope Singles'!J26,"AAAAAHV/7i0=")</f>
        <v>1</v>
      </c>
      <c r="AU11" t="e">
        <f>AND('Female Individual Rope Singles'!K26,"AAAAAHV/7i4=")</f>
        <v>#VALUE!</v>
      </c>
      <c r="AV11" t="e">
        <f>AND('Female Individual Rope Singles'!L26,"AAAAAHV/7i8=")</f>
        <v>#VALUE!</v>
      </c>
      <c r="AW11" t="e">
        <f>AND('Female Individual Rope Singles'!M26,"AAAAAHV/7jA=")</f>
        <v>#VALUE!</v>
      </c>
      <c r="AX11">
        <f>IF('Female Individual Rope Singles'!27:27,"AAAAAHV/7jE=",0)</f>
        <v>0</v>
      </c>
      <c r="AY11" t="b">
        <f>AND('Female Individual Rope Singles'!A27,"AAAAAHV/7jI=")</f>
        <v>1</v>
      </c>
      <c r="AZ11" t="e">
        <f>AND('Female Individual Rope Singles'!B27,"AAAAAHV/7jM=")</f>
        <v>#VALUE!</v>
      </c>
      <c r="BA11" t="b">
        <f>AND('Female Individual Rope Singles'!C27,"AAAAAHV/7jQ=")</f>
        <v>1</v>
      </c>
      <c r="BB11" t="e">
        <f>AND('Female Individual Rope Singles'!D27,"AAAAAHV/7jU=")</f>
        <v>#VALUE!</v>
      </c>
      <c r="BC11" t="e">
        <f>AND('Female Individual Rope Singles'!E27,"AAAAAHV/7jY=")</f>
        <v>#VALUE!</v>
      </c>
      <c r="BD11" t="e">
        <f>AND('Female Individual Rope Singles'!F27,"AAAAAHV/7jc=")</f>
        <v>#VALUE!</v>
      </c>
      <c r="BE11" t="e">
        <f>AND('Female Individual Rope Singles'!G27,"AAAAAHV/7jg=")</f>
        <v>#VALUE!</v>
      </c>
      <c r="BF11" t="b">
        <f>AND('Female Individual Rope Singles'!H27,"AAAAAHV/7jk=")</f>
        <v>1</v>
      </c>
      <c r="BG11" t="e">
        <f>AND('Female Individual Rope Singles'!I27,"AAAAAHV/7jo=")</f>
        <v>#VALUE!</v>
      </c>
      <c r="BH11" t="b">
        <f>AND('Female Individual Rope Singles'!J27,"AAAAAHV/7js=")</f>
        <v>1</v>
      </c>
      <c r="BI11" t="e">
        <f>AND('Female Individual Rope Singles'!K27,"AAAAAHV/7jw=")</f>
        <v>#VALUE!</v>
      </c>
      <c r="BJ11" t="e">
        <f>AND('Female Individual Rope Singles'!L27,"AAAAAHV/7j0=")</f>
        <v>#VALUE!</v>
      </c>
      <c r="BK11" t="e">
        <f>AND('Female Individual Rope Singles'!M27,"AAAAAHV/7j4=")</f>
        <v>#VALUE!</v>
      </c>
      <c r="BL11">
        <f>IF('Female Individual Rope Singles'!28:28,"AAAAAHV/7j8=",0)</f>
        <v>0</v>
      </c>
      <c r="BM11" t="b">
        <f>AND('Female Individual Rope Singles'!A28,"AAAAAHV/7kA=")</f>
        <v>1</v>
      </c>
      <c r="BN11" t="e">
        <f>AND('Female Individual Rope Singles'!B28,"AAAAAHV/7kE=")</f>
        <v>#VALUE!</v>
      </c>
      <c r="BO11" t="b">
        <f>AND('Female Individual Rope Singles'!C28,"AAAAAHV/7kI=")</f>
        <v>1</v>
      </c>
      <c r="BP11" t="e">
        <f>AND('Female Individual Rope Singles'!D28,"AAAAAHV/7kM=")</f>
        <v>#VALUE!</v>
      </c>
      <c r="BQ11" t="e">
        <f>AND('Female Individual Rope Singles'!E28,"AAAAAHV/7kQ=")</f>
        <v>#VALUE!</v>
      </c>
      <c r="BR11" t="e">
        <f>AND('Female Individual Rope Singles'!F28,"AAAAAHV/7kU=")</f>
        <v>#VALUE!</v>
      </c>
      <c r="BS11" t="e">
        <f>AND('Female Individual Rope Singles'!G28,"AAAAAHV/7kY=")</f>
        <v>#VALUE!</v>
      </c>
      <c r="BT11" t="b">
        <f>AND('Female Individual Rope Singles'!H28,"AAAAAHV/7kc=")</f>
        <v>1</v>
      </c>
      <c r="BU11" t="e">
        <f>AND('Female Individual Rope Singles'!I28,"AAAAAHV/7kg=")</f>
        <v>#VALUE!</v>
      </c>
      <c r="BV11" t="b">
        <f>AND('Female Individual Rope Singles'!J28,"AAAAAHV/7kk=")</f>
        <v>1</v>
      </c>
      <c r="BW11" t="e">
        <f>AND('Female Individual Rope Singles'!K28,"AAAAAHV/7ko=")</f>
        <v>#VALUE!</v>
      </c>
      <c r="BX11" t="e">
        <f>AND('Female Individual Rope Singles'!L28,"AAAAAHV/7ks=")</f>
        <v>#VALUE!</v>
      </c>
      <c r="BY11" t="e">
        <f>AND('Female Individual Rope Singles'!M28,"AAAAAHV/7kw=")</f>
        <v>#VALUE!</v>
      </c>
      <c r="BZ11">
        <f>IF('Female Individual Rope Singles'!29:29,"AAAAAHV/7k0=",0)</f>
        <v>0</v>
      </c>
      <c r="CA11" t="b">
        <f>AND('Female Individual Rope Singles'!A29,"AAAAAHV/7k4=")</f>
        <v>1</v>
      </c>
      <c r="CB11" t="e">
        <f>AND('Female Individual Rope Singles'!B29,"AAAAAHV/7k8=")</f>
        <v>#VALUE!</v>
      </c>
      <c r="CC11" t="b">
        <f>AND('Female Individual Rope Singles'!C29,"AAAAAHV/7lA=")</f>
        <v>1</v>
      </c>
      <c r="CD11" t="e">
        <f>AND('Female Individual Rope Singles'!D29,"AAAAAHV/7lE=")</f>
        <v>#VALUE!</v>
      </c>
      <c r="CE11" t="e">
        <f>AND('Female Individual Rope Singles'!E29,"AAAAAHV/7lI=")</f>
        <v>#VALUE!</v>
      </c>
      <c r="CF11" t="e">
        <f>AND('Female Individual Rope Singles'!F29,"AAAAAHV/7lM=")</f>
        <v>#VALUE!</v>
      </c>
      <c r="CG11" t="e">
        <f>AND('Female Individual Rope Singles'!G29,"AAAAAHV/7lQ=")</f>
        <v>#VALUE!</v>
      </c>
      <c r="CH11" t="b">
        <f>AND('Female Individual Rope Singles'!H29,"AAAAAHV/7lU=")</f>
        <v>1</v>
      </c>
      <c r="CI11" t="e">
        <f>AND('Female Individual Rope Singles'!I29,"AAAAAHV/7lY=")</f>
        <v>#VALUE!</v>
      </c>
      <c r="CJ11" t="b">
        <f>AND('Female Individual Rope Singles'!J29,"AAAAAHV/7lc=")</f>
        <v>1</v>
      </c>
      <c r="CK11" t="e">
        <f>AND('Female Individual Rope Singles'!K29,"AAAAAHV/7lg=")</f>
        <v>#VALUE!</v>
      </c>
      <c r="CL11" t="e">
        <f>AND('Female Individual Rope Singles'!L29,"AAAAAHV/7lk=")</f>
        <v>#VALUE!</v>
      </c>
      <c r="CM11" t="e">
        <f>AND('Female Individual Rope Singles'!M29,"AAAAAHV/7lo=")</f>
        <v>#VALUE!</v>
      </c>
      <c r="CN11">
        <f>IF('Female Individual Rope Singles'!30:30,"AAAAAHV/7ls=",0)</f>
        <v>0</v>
      </c>
      <c r="CO11" t="b">
        <f>AND('Female Individual Rope Singles'!A30,"AAAAAHV/7lw=")</f>
        <v>1</v>
      </c>
      <c r="CP11" t="e">
        <f>AND('Female Individual Rope Singles'!B30,"AAAAAHV/7l0=")</f>
        <v>#VALUE!</v>
      </c>
      <c r="CQ11" t="b">
        <f>AND('Female Individual Rope Singles'!C30,"AAAAAHV/7l4=")</f>
        <v>1</v>
      </c>
      <c r="CR11" t="e">
        <f>AND('Female Individual Rope Singles'!D30,"AAAAAHV/7l8=")</f>
        <v>#VALUE!</v>
      </c>
      <c r="CS11" t="e">
        <f>AND('Female Individual Rope Singles'!E30,"AAAAAHV/7mA=")</f>
        <v>#VALUE!</v>
      </c>
      <c r="CT11" t="e">
        <f>AND('Female Individual Rope Singles'!F30,"AAAAAHV/7mE=")</f>
        <v>#VALUE!</v>
      </c>
      <c r="CU11" t="e">
        <f>AND('Female Individual Rope Singles'!G30,"AAAAAHV/7mI=")</f>
        <v>#VALUE!</v>
      </c>
      <c r="CV11" t="b">
        <f>AND('Female Individual Rope Singles'!H30,"AAAAAHV/7mM=")</f>
        <v>1</v>
      </c>
      <c r="CW11" t="e">
        <f>AND('Female Individual Rope Singles'!I30,"AAAAAHV/7mQ=")</f>
        <v>#VALUE!</v>
      </c>
      <c r="CX11" t="b">
        <f>AND('Female Individual Rope Singles'!J30,"AAAAAHV/7mU=")</f>
        <v>1</v>
      </c>
      <c r="CY11" t="e">
        <f>AND('Female Individual Rope Singles'!K30,"AAAAAHV/7mY=")</f>
        <v>#VALUE!</v>
      </c>
      <c r="CZ11" t="e">
        <f>AND('Female Individual Rope Singles'!L30,"AAAAAHV/7mc=")</f>
        <v>#VALUE!</v>
      </c>
      <c r="DA11" t="e">
        <f>AND('Female Individual Rope Singles'!M30,"AAAAAHV/7mg=")</f>
        <v>#VALUE!</v>
      </c>
      <c r="DB11">
        <f>IF('Female Individual Rope Singles'!31:31,"AAAAAHV/7mk=",0)</f>
        <v>0</v>
      </c>
      <c r="DC11" t="b">
        <f>AND('Female Individual Rope Singles'!A31,"AAAAAHV/7mo=")</f>
        <v>1</v>
      </c>
      <c r="DD11" t="e">
        <f>AND('Female Individual Rope Singles'!B31,"AAAAAHV/7ms=")</f>
        <v>#VALUE!</v>
      </c>
      <c r="DE11" t="b">
        <f>AND('Female Individual Rope Singles'!C31,"AAAAAHV/7mw=")</f>
        <v>1</v>
      </c>
      <c r="DF11" t="e">
        <f>AND('Female Individual Rope Singles'!D31,"AAAAAHV/7m0=")</f>
        <v>#VALUE!</v>
      </c>
      <c r="DG11" t="e">
        <f>AND('Female Individual Rope Singles'!E31,"AAAAAHV/7m4=")</f>
        <v>#VALUE!</v>
      </c>
      <c r="DH11" t="e">
        <f>AND('Female Individual Rope Singles'!F31,"AAAAAHV/7m8=")</f>
        <v>#VALUE!</v>
      </c>
      <c r="DI11" t="e">
        <f>AND('Female Individual Rope Singles'!G31,"AAAAAHV/7nA=")</f>
        <v>#VALUE!</v>
      </c>
      <c r="DJ11" t="b">
        <f>AND('Female Individual Rope Singles'!H31,"AAAAAHV/7nE=")</f>
        <v>1</v>
      </c>
      <c r="DK11" t="e">
        <f>AND('Female Individual Rope Singles'!I31,"AAAAAHV/7nI=")</f>
        <v>#VALUE!</v>
      </c>
      <c r="DL11" t="b">
        <f>AND('Female Individual Rope Singles'!J31,"AAAAAHV/7nM=")</f>
        <v>1</v>
      </c>
      <c r="DM11" t="e">
        <f>AND('Female Individual Rope Singles'!K31,"AAAAAHV/7nQ=")</f>
        <v>#VALUE!</v>
      </c>
      <c r="DN11" t="e">
        <f>AND('Female Individual Rope Singles'!L31,"AAAAAHV/7nU=")</f>
        <v>#VALUE!</v>
      </c>
      <c r="DO11" t="e">
        <f>AND('Female Individual Rope Singles'!M31,"AAAAAHV/7nY=")</f>
        <v>#VALUE!</v>
      </c>
      <c r="DP11">
        <f>IF('Female Individual Rope Singles'!32:32,"AAAAAHV/7nc=",0)</f>
        <v>0</v>
      </c>
      <c r="DQ11" t="b">
        <f>AND('Female Individual Rope Singles'!A32,"AAAAAHV/7ng=")</f>
        <v>1</v>
      </c>
      <c r="DR11" t="e">
        <f>AND('Female Individual Rope Singles'!B32,"AAAAAHV/7nk=")</f>
        <v>#VALUE!</v>
      </c>
      <c r="DS11" t="b">
        <f>AND('Female Individual Rope Singles'!C32,"AAAAAHV/7no=")</f>
        <v>1</v>
      </c>
      <c r="DT11" t="e">
        <f>AND('Female Individual Rope Singles'!D32,"AAAAAHV/7ns=")</f>
        <v>#VALUE!</v>
      </c>
      <c r="DU11" t="e">
        <f>AND('Female Individual Rope Singles'!E32,"AAAAAHV/7nw=")</f>
        <v>#VALUE!</v>
      </c>
      <c r="DV11" t="e">
        <f>AND('Female Individual Rope Singles'!F32,"AAAAAHV/7n0=")</f>
        <v>#VALUE!</v>
      </c>
      <c r="DW11" t="e">
        <f>AND('Female Individual Rope Singles'!G32,"AAAAAHV/7n4=")</f>
        <v>#VALUE!</v>
      </c>
      <c r="DX11" t="b">
        <f>AND('Female Individual Rope Singles'!H32,"AAAAAHV/7n8=")</f>
        <v>1</v>
      </c>
      <c r="DY11" t="e">
        <f>AND('Female Individual Rope Singles'!I32,"AAAAAHV/7oA=")</f>
        <v>#VALUE!</v>
      </c>
      <c r="DZ11" t="b">
        <f>AND('Female Individual Rope Singles'!J32,"AAAAAHV/7oE=")</f>
        <v>1</v>
      </c>
      <c r="EA11" t="e">
        <f>AND('Female Individual Rope Singles'!K32,"AAAAAHV/7oI=")</f>
        <v>#VALUE!</v>
      </c>
      <c r="EB11" t="e">
        <f>AND('Female Individual Rope Singles'!L32,"AAAAAHV/7oM=")</f>
        <v>#VALUE!</v>
      </c>
      <c r="EC11" t="e">
        <f>AND('Female Individual Rope Singles'!M32,"AAAAAHV/7oQ=")</f>
        <v>#VALUE!</v>
      </c>
      <c r="ED11">
        <f>IF('Female Individual Rope Singles'!33:33,"AAAAAHV/7oU=",0)</f>
        <v>0</v>
      </c>
      <c r="EE11" t="b">
        <f>AND('Female Individual Rope Singles'!A33,"AAAAAHV/7oY=")</f>
        <v>1</v>
      </c>
      <c r="EF11" t="e">
        <f>AND('Female Individual Rope Singles'!B33,"AAAAAHV/7oc=")</f>
        <v>#VALUE!</v>
      </c>
      <c r="EG11" t="b">
        <f>AND('Female Individual Rope Singles'!C33,"AAAAAHV/7og=")</f>
        <v>1</v>
      </c>
      <c r="EH11" t="e">
        <f>AND('Female Individual Rope Singles'!D33,"AAAAAHV/7ok=")</f>
        <v>#VALUE!</v>
      </c>
      <c r="EI11" t="e">
        <f>AND('Female Individual Rope Singles'!E33,"AAAAAHV/7oo=")</f>
        <v>#VALUE!</v>
      </c>
      <c r="EJ11" t="e">
        <f>AND('Female Individual Rope Singles'!F33,"AAAAAHV/7os=")</f>
        <v>#VALUE!</v>
      </c>
      <c r="EK11" t="e">
        <f>AND('Female Individual Rope Singles'!G33,"AAAAAHV/7ow=")</f>
        <v>#VALUE!</v>
      </c>
      <c r="EL11" t="b">
        <f>AND('Female Individual Rope Singles'!H33,"AAAAAHV/7o0=")</f>
        <v>1</v>
      </c>
      <c r="EM11" t="e">
        <f>AND('Female Individual Rope Singles'!I33,"AAAAAHV/7o4=")</f>
        <v>#VALUE!</v>
      </c>
      <c r="EN11" t="b">
        <f>AND('Female Individual Rope Singles'!J33,"AAAAAHV/7o8=")</f>
        <v>1</v>
      </c>
      <c r="EO11" t="e">
        <f>AND('Female Individual Rope Singles'!K33,"AAAAAHV/7pA=")</f>
        <v>#VALUE!</v>
      </c>
      <c r="EP11" t="e">
        <f>AND('Female Individual Rope Singles'!L33,"AAAAAHV/7pE=")</f>
        <v>#VALUE!</v>
      </c>
      <c r="EQ11" t="e">
        <f>AND('Female Individual Rope Singles'!M33,"AAAAAHV/7pI=")</f>
        <v>#VALUE!</v>
      </c>
      <c r="ER11">
        <f>IF('Female Individual Rope Singles'!34:34,"AAAAAHV/7pM=",0)</f>
        <v>0</v>
      </c>
      <c r="ES11" t="b">
        <f>AND('Female Individual Rope Singles'!A34,"AAAAAHV/7pQ=")</f>
        <v>1</v>
      </c>
      <c r="ET11" t="e">
        <f>AND('Female Individual Rope Singles'!B34,"AAAAAHV/7pU=")</f>
        <v>#VALUE!</v>
      </c>
      <c r="EU11" t="b">
        <f>AND('Female Individual Rope Singles'!C34,"AAAAAHV/7pY=")</f>
        <v>1</v>
      </c>
      <c r="EV11" t="e">
        <f>AND('Female Individual Rope Singles'!D34,"AAAAAHV/7pc=")</f>
        <v>#VALUE!</v>
      </c>
      <c r="EW11" t="e">
        <f>AND('Female Individual Rope Singles'!E34,"AAAAAHV/7pg=")</f>
        <v>#VALUE!</v>
      </c>
      <c r="EX11" t="e">
        <f>AND('Female Individual Rope Singles'!F34,"AAAAAHV/7pk=")</f>
        <v>#VALUE!</v>
      </c>
      <c r="EY11" t="e">
        <f>AND('Female Individual Rope Singles'!G34,"AAAAAHV/7po=")</f>
        <v>#VALUE!</v>
      </c>
      <c r="EZ11" t="b">
        <f>AND('Female Individual Rope Singles'!H34,"AAAAAHV/7ps=")</f>
        <v>1</v>
      </c>
      <c r="FA11" t="e">
        <f>AND('Female Individual Rope Singles'!I34,"AAAAAHV/7pw=")</f>
        <v>#VALUE!</v>
      </c>
      <c r="FB11" t="b">
        <f>AND('Female Individual Rope Singles'!J34,"AAAAAHV/7p0=")</f>
        <v>1</v>
      </c>
      <c r="FC11" t="e">
        <f>AND('Female Individual Rope Singles'!K34,"AAAAAHV/7p4=")</f>
        <v>#VALUE!</v>
      </c>
      <c r="FD11" t="e">
        <f>AND('Female Individual Rope Singles'!L34,"AAAAAHV/7p8=")</f>
        <v>#VALUE!</v>
      </c>
      <c r="FE11" t="e">
        <f>AND('Female Individual Rope Singles'!M34,"AAAAAHV/7qA=")</f>
        <v>#VALUE!</v>
      </c>
      <c r="FF11">
        <f>IF('Female Individual Rope Singles'!35:35,"AAAAAHV/7qE=",0)</f>
        <v>0</v>
      </c>
      <c r="FG11" t="b">
        <f>AND('Female Individual Rope Singles'!A35,"AAAAAHV/7qI=")</f>
        <v>1</v>
      </c>
      <c r="FH11" t="e">
        <f>AND('Female Individual Rope Singles'!B35,"AAAAAHV/7qM=")</f>
        <v>#VALUE!</v>
      </c>
      <c r="FI11" t="b">
        <f>AND('Female Individual Rope Singles'!C35,"AAAAAHV/7qQ=")</f>
        <v>1</v>
      </c>
      <c r="FJ11" t="e">
        <f>AND('Female Individual Rope Singles'!D35,"AAAAAHV/7qU=")</f>
        <v>#VALUE!</v>
      </c>
      <c r="FK11" t="e">
        <f>AND('Female Individual Rope Singles'!E35,"AAAAAHV/7qY=")</f>
        <v>#VALUE!</v>
      </c>
      <c r="FL11" t="e">
        <f>AND('Female Individual Rope Singles'!F35,"AAAAAHV/7qc=")</f>
        <v>#VALUE!</v>
      </c>
      <c r="FM11" t="e">
        <f>AND('Female Individual Rope Singles'!G35,"AAAAAHV/7qg=")</f>
        <v>#VALUE!</v>
      </c>
      <c r="FN11" t="b">
        <f>AND('Female Individual Rope Singles'!H35,"AAAAAHV/7qk=")</f>
        <v>1</v>
      </c>
      <c r="FO11" t="e">
        <f>AND('Female Individual Rope Singles'!I35,"AAAAAHV/7qo=")</f>
        <v>#VALUE!</v>
      </c>
      <c r="FP11" t="b">
        <f>AND('Female Individual Rope Singles'!J35,"AAAAAHV/7qs=")</f>
        <v>1</v>
      </c>
      <c r="FQ11" t="e">
        <f>AND('Female Individual Rope Singles'!K35,"AAAAAHV/7qw=")</f>
        <v>#VALUE!</v>
      </c>
      <c r="FR11" t="e">
        <f>AND('Female Individual Rope Singles'!L35,"AAAAAHV/7q0=")</f>
        <v>#VALUE!</v>
      </c>
      <c r="FS11" t="e">
        <f>AND('Female Individual Rope Singles'!M35,"AAAAAHV/7q4=")</f>
        <v>#VALUE!</v>
      </c>
      <c r="FT11">
        <f>IF('Female Individual Rope Singles'!36:36,"AAAAAHV/7q8=",0)</f>
        <v>0</v>
      </c>
      <c r="FU11" t="b">
        <f>AND('Female Individual Rope Singles'!A36,"AAAAAHV/7rA=")</f>
        <v>1</v>
      </c>
      <c r="FV11" t="e">
        <f>AND('Female Individual Rope Singles'!B36,"AAAAAHV/7rE=")</f>
        <v>#VALUE!</v>
      </c>
      <c r="FW11" t="b">
        <f>AND('Female Individual Rope Singles'!C36,"AAAAAHV/7rI=")</f>
        <v>1</v>
      </c>
      <c r="FX11" t="e">
        <f>AND('Female Individual Rope Singles'!D36,"AAAAAHV/7rM=")</f>
        <v>#VALUE!</v>
      </c>
      <c r="FY11" t="e">
        <f>AND('Female Individual Rope Singles'!E36,"AAAAAHV/7rQ=")</f>
        <v>#VALUE!</v>
      </c>
      <c r="FZ11" t="e">
        <f>AND('Female Individual Rope Singles'!F36,"AAAAAHV/7rU=")</f>
        <v>#VALUE!</v>
      </c>
      <c r="GA11" t="e">
        <f>AND('Female Individual Rope Singles'!G36,"AAAAAHV/7rY=")</f>
        <v>#VALUE!</v>
      </c>
      <c r="GB11" t="b">
        <f>AND('Female Individual Rope Singles'!H36,"AAAAAHV/7rc=")</f>
        <v>1</v>
      </c>
      <c r="GC11" t="e">
        <f>AND('Female Individual Rope Singles'!I36,"AAAAAHV/7rg=")</f>
        <v>#VALUE!</v>
      </c>
      <c r="GD11" t="b">
        <f>AND('Female Individual Rope Singles'!J36,"AAAAAHV/7rk=")</f>
        <v>1</v>
      </c>
      <c r="GE11" t="e">
        <f>AND('Female Individual Rope Singles'!K36,"AAAAAHV/7ro=")</f>
        <v>#VALUE!</v>
      </c>
      <c r="GF11" t="e">
        <f>AND('Female Individual Rope Singles'!L36,"AAAAAHV/7rs=")</f>
        <v>#VALUE!</v>
      </c>
      <c r="GG11" t="e">
        <f>AND('Female Individual Rope Singles'!M36,"AAAAAHV/7rw=")</f>
        <v>#VALUE!</v>
      </c>
      <c r="GH11">
        <f>IF('Female Individual Rope Singles'!37:37,"AAAAAHV/7r0=",0)</f>
        <v>0</v>
      </c>
      <c r="GI11" t="b">
        <f>AND('Female Individual Rope Singles'!A37,"AAAAAHV/7r4=")</f>
        <v>1</v>
      </c>
      <c r="GJ11" t="e">
        <f>AND('Female Individual Rope Singles'!B37,"AAAAAHV/7r8=")</f>
        <v>#VALUE!</v>
      </c>
      <c r="GK11" t="e">
        <f>AND('Female Individual Rope Singles'!C37,"AAAAAHV/7sA=")</f>
        <v>#VALUE!</v>
      </c>
      <c r="GL11" t="e">
        <f>AND('Female Individual Rope Singles'!D37,"AAAAAHV/7sE=")</f>
        <v>#VALUE!</v>
      </c>
      <c r="GM11" t="e">
        <f>AND('Female Individual Rope Singles'!E37,"AAAAAHV/7sI=")</f>
        <v>#VALUE!</v>
      </c>
      <c r="GN11" t="e">
        <f>AND('Female Individual Rope Singles'!F37,"AAAAAHV/7sM=")</f>
        <v>#VALUE!</v>
      </c>
      <c r="GO11" t="e">
        <f>AND('Female Individual Rope Singles'!G37,"AAAAAHV/7sQ=")</f>
        <v>#VALUE!</v>
      </c>
      <c r="GP11" t="b">
        <f>AND('Female Individual Rope Singles'!H37,"AAAAAHV/7sU=")</f>
        <v>1</v>
      </c>
      <c r="GQ11" t="e">
        <f>AND('Female Individual Rope Singles'!I37,"AAAAAHV/7sY=")</f>
        <v>#VALUE!</v>
      </c>
      <c r="GR11" t="e">
        <f>AND('Female Individual Rope Singles'!J37,"AAAAAHV/7sc=")</f>
        <v>#VALUE!</v>
      </c>
      <c r="GS11" t="e">
        <f>AND('Female Individual Rope Singles'!K37,"AAAAAHV/7sg=")</f>
        <v>#VALUE!</v>
      </c>
      <c r="GT11" t="e">
        <f>AND('Female Individual Rope Singles'!L37,"AAAAAHV/7sk=")</f>
        <v>#VALUE!</v>
      </c>
      <c r="GU11" t="e">
        <f>AND('Female Individual Rope Singles'!M37,"AAAAAHV/7so=")</f>
        <v>#VALUE!</v>
      </c>
      <c r="GV11">
        <f>IF('Female Individual Rope Singles'!38:38,"AAAAAHV/7ss=",0)</f>
        <v>0</v>
      </c>
      <c r="GW11" t="e">
        <f>AND('Female Individual Rope Singles'!A38,"AAAAAHV/7sw=")</f>
        <v>#VALUE!</v>
      </c>
      <c r="GX11" t="e">
        <f>AND('Female Individual Rope Singles'!B38,"AAAAAHV/7s0=")</f>
        <v>#VALUE!</v>
      </c>
      <c r="GY11" t="e">
        <f>AND('Female Individual Rope Singles'!C38,"AAAAAHV/7s4=")</f>
        <v>#VALUE!</v>
      </c>
      <c r="GZ11" t="e">
        <f>AND('Female Individual Rope Singles'!D38,"AAAAAHV/7s8=")</f>
        <v>#VALUE!</v>
      </c>
      <c r="HA11" t="e">
        <f>AND('Female Individual Rope Singles'!E38,"AAAAAHV/7tA=")</f>
        <v>#VALUE!</v>
      </c>
      <c r="HB11" t="e">
        <f>AND('Female Individual Rope Singles'!F38,"AAAAAHV/7tE=")</f>
        <v>#VALUE!</v>
      </c>
      <c r="HC11" t="e">
        <f>AND('Female Individual Rope Singles'!G38,"AAAAAHV/7tI=")</f>
        <v>#VALUE!</v>
      </c>
      <c r="HD11" t="e">
        <f>AND('Female Individual Rope Singles'!H38,"AAAAAHV/7tM=")</f>
        <v>#VALUE!</v>
      </c>
      <c r="HE11" t="e">
        <f>AND('Female Individual Rope Singles'!I38,"AAAAAHV/7tQ=")</f>
        <v>#VALUE!</v>
      </c>
      <c r="HF11" t="e">
        <f>AND('Female Individual Rope Singles'!J38,"AAAAAHV/7tU=")</f>
        <v>#VALUE!</v>
      </c>
      <c r="HG11" t="e">
        <f>AND('Female Individual Rope Singles'!K38,"AAAAAHV/7tY=")</f>
        <v>#VALUE!</v>
      </c>
      <c r="HH11" t="e">
        <f>AND('Female Individual Rope Singles'!L38,"AAAAAHV/7tc=")</f>
        <v>#VALUE!</v>
      </c>
      <c r="HI11" t="e">
        <f>AND('Female Individual Rope Singles'!M38,"AAAAAHV/7tg=")</f>
        <v>#VALUE!</v>
      </c>
      <c r="HJ11">
        <f>IF('Female Individual Rope Singles'!39:39,"AAAAAHV/7tk=",0)</f>
        <v>0</v>
      </c>
      <c r="HK11" t="b">
        <f>AND('Female Individual Rope Singles'!A39,"AAAAAHV/7to=")</f>
        <v>1</v>
      </c>
      <c r="HL11" t="e">
        <f>AND('Female Individual Rope Singles'!B39,"AAAAAHV/7ts=")</f>
        <v>#VALUE!</v>
      </c>
      <c r="HM11" t="b">
        <f>AND('Female Individual Rope Singles'!C39,"AAAAAHV/7tw=")</f>
        <v>1</v>
      </c>
      <c r="HN11" t="e">
        <f>AND('Female Individual Rope Singles'!D39,"AAAAAHV/7t0=")</f>
        <v>#VALUE!</v>
      </c>
      <c r="HO11" t="e">
        <f>AND('Female Individual Rope Singles'!E39,"AAAAAHV/7t4=")</f>
        <v>#VALUE!</v>
      </c>
      <c r="HP11" t="e">
        <f>AND('Female Individual Rope Singles'!F39,"AAAAAHV/7t8=")</f>
        <v>#VALUE!</v>
      </c>
      <c r="HQ11" t="e">
        <f>AND('Female Individual Rope Singles'!G39,"AAAAAHV/7uA=")</f>
        <v>#VALUE!</v>
      </c>
      <c r="HR11" t="b">
        <f>AND('Female Individual Rope Singles'!H39,"AAAAAHV/7uE=")</f>
        <v>1</v>
      </c>
      <c r="HS11" t="e">
        <f>AND('Female Individual Rope Singles'!I39,"AAAAAHV/7uI=")</f>
        <v>#VALUE!</v>
      </c>
      <c r="HT11" t="b">
        <f>AND('Female Individual Rope Singles'!J39,"AAAAAHV/7uM=")</f>
        <v>1</v>
      </c>
      <c r="HU11" t="e">
        <f>AND('Female Individual Rope Singles'!K39,"AAAAAHV/7uQ=")</f>
        <v>#VALUE!</v>
      </c>
      <c r="HV11" t="e">
        <f>AND('Female Individual Rope Singles'!L39,"AAAAAHV/7uU=")</f>
        <v>#VALUE!</v>
      </c>
      <c r="HW11" t="e">
        <f>AND('Female Individual Rope Singles'!M39,"AAAAAHV/7uY=")</f>
        <v>#VALUE!</v>
      </c>
      <c r="HX11">
        <f>IF('Female Individual Rope Singles'!40:40,"AAAAAHV/7uc=",0)</f>
        <v>0</v>
      </c>
      <c r="HY11" t="b">
        <f>AND('Female Individual Rope Singles'!A40,"AAAAAHV/7ug=")</f>
        <v>1</v>
      </c>
      <c r="HZ11" t="e">
        <f>AND('Female Individual Rope Singles'!B40,"AAAAAHV/7uk=")</f>
        <v>#VALUE!</v>
      </c>
      <c r="IA11" t="b">
        <f>AND('Female Individual Rope Singles'!C40,"AAAAAHV/7uo=")</f>
        <v>1</v>
      </c>
      <c r="IB11" t="e">
        <f>AND('Female Individual Rope Singles'!D40,"AAAAAHV/7us=")</f>
        <v>#VALUE!</v>
      </c>
      <c r="IC11" t="e">
        <f>AND('Female Individual Rope Singles'!E40,"AAAAAHV/7uw=")</f>
        <v>#VALUE!</v>
      </c>
      <c r="ID11" t="e">
        <f>AND('Female Individual Rope Singles'!F40,"AAAAAHV/7u0=")</f>
        <v>#VALUE!</v>
      </c>
      <c r="IE11" t="e">
        <f>AND('Female Individual Rope Singles'!G40,"AAAAAHV/7u4=")</f>
        <v>#VALUE!</v>
      </c>
      <c r="IF11" t="b">
        <f>AND('Female Individual Rope Singles'!H40,"AAAAAHV/7u8=")</f>
        <v>1</v>
      </c>
      <c r="IG11" t="e">
        <f>AND('Female Individual Rope Singles'!I40,"AAAAAHV/7vA=")</f>
        <v>#VALUE!</v>
      </c>
      <c r="IH11" t="b">
        <f>AND('Female Individual Rope Singles'!J40,"AAAAAHV/7vE=")</f>
        <v>1</v>
      </c>
      <c r="II11" t="e">
        <f>AND('Female Individual Rope Singles'!K40,"AAAAAHV/7vI=")</f>
        <v>#VALUE!</v>
      </c>
      <c r="IJ11" t="e">
        <f>AND('Female Individual Rope Singles'!L40,"AAAAAHV/7vM=")</f>
        <v>#VALUE!</v>
      </c>
      <c r="IK11" t="e">
        <f>AND('Female Individual Rope Singles'!M40,"AAAAAHV/7vQ=")</f>
        <v>#VALUE!</v>
      </c>
      <c r="IL11">
        <f>IF('Female Individual Rope Singles'!41:41,"AAAAAHV/7vU=",0)</f>
        <v>0</v>
      </c>
      <c r="IM11" t="b">
        <f>AND('Female Individual Rope Singles'!A41,"AAAAAHV/7vY=")</f>
        <v>1</v>
      </c>
      <c r="IN11" t="e">
        <f>AND('Female Individual Rope Singles'!B41,"AAAAAHV/7vc=")</f>
        <v>#VALUE!</v>
      </c>
      <c r="IO11" t="b">
        <f>AND('Female Individual Rope Singles'!C41,"AAAAAHV/7vg=")</f>
        <v>1</v>
      </c>
      <c r="IP11" t="e">
        <f>AND('Female Individual Rope Singles'!D41,"AAAAAHV/7vk=")</f>
        <v>#VALUE!</v>
      </c>
      <c r="IQ11" t="e">
        <f>AND('Female Individual Rope Singles'!E41,"AAAAAHV/7vo=")</f>
        <v>#VALUE!</v>
      </c>
      <c r="IR11" t="e">
        <f>AND('Female Individual Rope Singles'!F41,"AAAAAHV/7vs=")</f>
        <v>#VALUE!</v>
      </c>
      <c r="IS11" t="e">
        <f>AND('Female Individual Rope Singles'!G41,"AAAAAHV/7vw=")</f>
        <v>#VALUE!</v>
      </c>
      <c r="IT11" t="b">
        <f>AND('Female Individual Rope Singles'!H41,"AAAAAHV/7v0=")</f>
        <v>1</v>
      </c>
      <c r="IU11" t="e">
        <f>AND('Female Individual Rope Singles'!I41,"AAAAAHV/7v4=")</f>
        <v>#VALUE!</v>
      </c>
      <c r="IV11" t="b">
        <f>AND('Female Individual Rope Singles'!J41,"AAAAAHV/7v8=")</f>
        <v>1</v>
      </c>
    </row>
    <row r="12" spans="1:256" x14ac:dyDescent="0.25">
      <c r="A12" t="e">
        <f>AND('Female Individual Rope Singles'!K41,"AAAAABY/uQA=")</f>
        <v>#VALUE!</v>
      </c>
      <c r="B12" t="e">
        <f>AND('Female Individual Rope Singles'!L41,"AAAAABY/uQE=")</f>
        <v>#VALUE!</v>
      </c>
      <c r="C12" t="e">
        <f>AND('Female Individual Rope Singles'!M41,"AAAAABY/uQI=")</f>
        <v>#VALUE!</v>
      </c>
      <c r="D12">
        <f>IF('Female Individual Rope Singles'!42:42,"AAAAABY/uQM=",0)</f>
        <v>0</v>
      </c>
      <c r="E12" t="b">
        <f>AND('Female Individual Rope Singles'!A42,"AAAAABY/uQQ=")</f>
        <v>1</v>
      </c>
      <c r="F12" t="e">
        <f>AND('Female Individual Rope Singles'!B42,"AAAAABY/uQU=")</f>
        <v>#VALUE!</v>
      </c>
      <c r="G12" t="b">
        <f>AND('Female Individual Rope Singles'!C42,"AAAAABY/uQY=")</f>
        <v>1</v>
      </c>
      <c r="H12" t="e">
        <f>AND('Female Individual Rope Singles'!D42,"AAAAABY/uQc=")</f>
        <v>#VALUE!</v>
      </c>
      <c r="I12" t="e">
        <f>AND('Female Individual Rope Singles'!E42,"AAAAABY/uQg=")</f>
        <v>#VALUE!</v>
      </c>
      <c r="J12" t="e">
        <f>AND('Female Individual Rope Singles'!F42,"AAAAABY/uQk=")</f>
        <v>#VALUE!</v>
      </c>
      <c r="K12" t="e">
        <f>AND('Female Individual Rope Singles'!G42,"AAAAABY/uQo=")</f>
        <v>#VALUE!</v>
      </c>
      <c r="L12" t="b">
        <f>AND('Female Individual Rope Singles'!H42,"AAAAABY/uQs=")</f>
        <v>1</v>
      </c>
      <c r="M12" t="e">
        <f>AND('Female Individual Rope Singles'!I42,"AAAAABY/uQw=")</f>
        <v>#VALUE!</v>
      </c>
      <c r="N12" t="b">
        <f>AND('Female Individual Rope Singles'!J42,"AAAAABY/uQ0=")</f>
        <v>1</v>
      </c>
      <c r="O12" t="e">
        <f>AND('Female Individual Rope Singles'!K42,"AAAAABY/uQ4=")</f>
        <v>#VALUE!</v>
      </c>
      <c r="P12" t="e">
        <f>AND('Female Individual Rope Singles'!L42,"AAAAABY/uQ8=")</f>
        <v>#VALUE!</v>
      </c>
      <c r="Q12" t="e">
        <f>AND('Female Individual Rope Singles'!M42,"AAAAABY/uRA=")</f>
        <v>#VALUE!</v>
      </c>
      <c r="R12">
        <f>IF('Female Individual Rope Singles'!43:43,"AAAAABY/uRE=",0)</f>
        <v>0</v>
      </c>
      <c r="S12" t="b">
        <f>AND('Female Individual Rope Singles'!A43,"AAAAABY/uRI=")</f>
        <v>1</v>
      </c>
      <c r="T12" t="e">
        <f>AND('Female Individual Rope Singles'!B43,"AAAAABY/uRM=")</f>
        <v>#VALUE!</v>
      </c>
      <c r="U12" t="b">
        <f>AND('Female Individual Rope Singles'!C43,"AAAAABY/uRQ=")</f>
        <v>1</v>
      </c>
      <c r="V12" t="e">
        <f>AND('Female Individual Rope Singles'!D43,"AAAAABY/uRU=")</f>
        <v>#VALUE!</v>
      </c>
      <c r="W12" t="e">
        <f>AND('Female Individual Rope Singles'!E43,"AAAAABY/uRY=")</f>
        <v>#VALUE!</v>
      </c>
      <c r="X12" t="e">
        <f>AND('Female Individual Rope Singles'!F43,"AAAAABY/uRc=")</f>
        <v>#VALUE!</v>
      </c>
      <c r="Y12" t="e">
        <f>AND('Female Individual Rope Singles'!G43,"AAAAABY/uRg=")</f>
        <v>#VALUE!</v>
      </c>
      <c r="Z12" t="b">
        <f>AND('Female Individual Rope Singles'!H43,"AAAAABY/uRk=")</f>
        <v>1</v>
      </c>
      <c r="AA12" t="e">
        <f>AND('Female Individual Rope Singles'!I43,"AAAAABY/uRo=")</f>
        <v>#VALUE!</v>
      </c>
      <c r="AB12" t="b">
        <f>AND('Female Individual Rope Singles'!J43,"AAAAABY/uRs=")</f>
        <v>1</v>
      </c>
      <c r="AC12" t="e">
        <f>AND('Female Individual Rope Singles'!K43,"AAAAABY/uRw=")</f>
        <v>#VALUE!</v>
      </c>
      <c r="AD12" t="e">
        <f>AND('Female Individual Rope Singles'!L43,"AAAAABY/uR0=")</f>
        <v>#VALUE!</v>
      </c>
      <c r="AE12" t="e">
        <f>AND('Female Individual Rope Singles'!M43,"AAAAABY/uR4=")</f>
        <v>#VALUE!</v>
      </c>
      <c r="AF12">
        <f>IF('Female Individual Rope Singles'!44:44,"AAAAABY/uR8=",0)</f>
        <v>0</v>
      </c>
      <c r="AG12" t="b">
        <f>AND('Female Individual Rope Singles'!A44,"AAAAABY/uSA=")</f>
        <v>1</v>
      </c>
      <c r="AH12" t="e">
        <f>AND('Female Individual Rope Singles'!B44,"AAAAABY/uSE=")</f>
        <v>#VALUE!</v>
      </c>
      <c r="AI12" t="b">
        <f>AND('Female Individual Rope Singles'!C44,"AAAAABY/uSI=")</f>
        <v>1</v>
      </c>
      <c r="AJ12" t="e">
        <f>AND('Female Individual Rope Singles'!D44,"AAAAABY/uSM=")</f>
        <v>#VALUE!</v>
      </c>
      <c r="AK12" t="e">
        <f>AND('Female Individual Rope Singles'!E44,"AAAAABY/uSQ=")</f>
        <v>#VALUE!</v>
      </c>
      <c r="AL12" t="e">
        <f>AND('Female Individual Rope Singles'!F44,"AAAAABY/uSU=")</f>
        <v>#VALUE!</v>
      </c>
      <c r="AM12" t="e">
        <f>AND('Female Individual Rope Singles'!G44,"AAAAABY/uSY=")</f>
        <v>#VALUE!</v>
      </c>
      <c r="AN12" t="b">
        <f>AND('Female Individual Rope Singles'!H44,"AAAAABY/uSc=")</f>
        <v>1</v>
      </c>
      <c r="AO12" t="e">
        <f>AND('Female Individual Rope Singles'!I44,"AAAAABY/uSg=")</f>
        <v>#VALUE!</v>
      </c>
      <c r="AP12" t="b">
        <f>AND('Female Individual Rope Singles'!J44,"AAAAABY/uSk=")</f>
        <v>1</v>
      </c>
      <c r="AQ12" t="e">
        <f>AND('Female Individual Rope Singles'!K44,"AAAAABY/uSo=")</f>
        <v>#VALUE!</v>
      </c>
      <c r="AR12" t="e">
        <f>AND('Female Individual Rope Singles'!L44,"AAAAABY/uSs=")</f>
        <v>#VALUE!</v>
      </c>
      <c r="AS12" t="e">
        <f>AND('Female Individual Rope Singles'!M44,"AAAAABY/uSw=")</f>
        <v>#VALUE!</v>
      </c>
      <c r="AT12">
        <f>IF('Female Individual Rope Singles'!45:45,"AAAAABY/uS0=",0)</f>
        <v>0</v>
      </c>
      <c r="AU12" t="b">
        <f>AND('Female Individual Rope Singles'!A45,"AAAAABY/uS4=")</f>
        <v>1</v>
      </c>
      <c r="AV12" t="e">
        <f>AND('Female Individual Rope Singles'!B45,"AAAAABY/uS8=")</f>
        <v>#VALUE!</v>
      </c>
      <c r="AW12" t="b">
        <f>AND('Female Individual Rope Singles'!C45,"AAAAABY/uTA=")</f>
        <v>1</v>
      </c>
      <c r="AX12" t="e">
        <f>AND('Female Individual Rope Singles'!D45,"AAAAABY/uTE=")</f>
        <v>#VALUE!</v>
      </c>
      <c r="AY12" t="e">
        <f>AND('Female Individual Rope Singles'!E45,"AAAAABY/uTI=")</f>
        <v>#VALUE!</v>
      </c>
      <c r="AZ12" t="e">
        <f>AND('Female Individual Rope Singles'!F45,"AAAAABY/uTM=")</f>
        <v>#VALUE!</v>
      </c>
      <c r="BA12" t="e">
        <f>AND('Female Individual Rope Singles'!G45,"AAAAABY/uTQ=")</f>
        <v>#VALUE!</v>
      </c>
      <c r="BB12" t="b">
        <f>AND('Female Individual Rope Singles'!H45,"AAAAABY/uTU=")</f>
        <v>1</v>
      </c>
      <c r="BC12" t="e">
        <f>AND('Female Individual Rope Singles'!I45,"AAAAABY/uTY=")</f>
        <v>#VALUE!</v>
      </c>
      <c r="BD12" t="b">
        <f>AND('Female Individual Rope Singles'!J45,"AAAAABY/uTc=")</f>
        <v>1</v>
      </c>
      <c r="BE12" t="e">
        <f>AND('Female Individual Rope Singles'!K45,"AAAAABY/uTg=")</f>
        <v>#VALUE!</v>
      </c>
      <c r="BF12" t="e">
        <f>AND('Female Individual Rope Singles'!L45,"AAAAABY/uTk=")</f>
        <v>#VALUE!</v>
      </c>
      <c r="BG12" t="e">
        <f>AND('Female Individual Rope Singles'!M45,"AAAAABY/uTo=")</f>
        <v>#VALUE!</v>
      </c>
      <c r="BH12">
        <f>IF('Female Individual Rope Singles'!46:46,"AAAAABY/uTs=",0)</f>
        <v>0</v>
      </c>
      <c r="BI12" t="b">
        <f>AND('Female Individual Rope Singles'!A46,"AAAAABY/uTw=")</f>
        <v>1</v>
      </c>
      <c r="BJ12" t="e">
        <f>AND('Female Individual Rope Singles'!B46,"AAAAABY/uT0=")</f>
        <v>#VALUE!</v>
      </c>
      <c r="BK12" t="b">
        <f>AND('Female Individual Rope Singles'!C46,"AAAAABY/uT4=")</f>
        <v>1</v>
      </c>
      <c r="BL12" t="e">
        <f>AND('Female Individual Rope Singles'!D46,"AAAAABY/uT8=")</f>
        <v>#VALUE!</v>
      </c>
      <c r="BM12" t="e">
        <f>AND('Female Individual Rope Singles'!E46,"AAAAABY/uUA=")</f>
        <v>#VALUE!</v>
      </c>
      <c r="BN12" t="e">
        <f>AND('Female Individual Rope Singles'!F46,"AAAAABY/uUE=")</f>
        <v>#VALUE!</v>
      </c>
      <c r="BO12" t="e">
        <f>AND('Female Individual Rope Singles'!G46,"AAAAABY/uUI=")</f>
        <v>#VALUE!</v>
      </c>
      <c r="BP12" t="b">
        <f>AND('Female Individual Rope Singles'!H46,"AAAAABY/uUM=")</f>
        <v>1</v>
      </c>
      <c r="BQ12" t="e">
        <f>AND('Female Individual Rope Singles'!I46,"AAAAABY/uUQ=")</f>
        <v>#VALUE!</v>
      </c>
      <c r="BR12" t="b">
        <f>AND('Female Individual Rope Singles'!J46,"AAAAABY/uUU=")</f>
        <v>1</v>
      </c>
      <c r="BS12" t="e">
        <f>AND('Female Individual Rope Singles'!K46,"AAAAABY/uUY=")</f>
        <v>#VALUE!</v>
      </c>
      <c r="BT12" t="e">
        <f>AND('Female Individual Rope Singles'!L46,"AAAAABY/uUc=")</f>
        <v>#VALUE!</v>
      </c>
      <c r="BU12" t="e">
        <f>AND('Female Individual Rope Singles'!M46,"AAAAABY/uUg=")</f>
        <v>#VALUE!</v>
      </c>
      <c r="BV12">
        <f>IF('Female Individual Rope Singles'!47:47,"AAAAABY/uUk=",0)</f>
        <v>0</v>
      </c>
      <c r="BW12" t="b">
        <f>AND('Female Individual Rope Singles'!A47,"AAAAABY/uUo=")</f>
        <v>1</v>
      </c>
      <c r="BX12" t="e">
        <f>AND('Female Individual Rope Singles'!B47,"AAAAABY/uUs=")</f>
        <v>#VALUE!</v>
      </c>
      <c r="BY12" t="b">
        <f>AND('Female Individual Rope Singles'!C47,"AAAAABY/uUw=")</f>
        <v>1</v>
      </c>
      <c r="BZ12" t="e">
        <f>AND('Female Individual Rope Singles'!D47,"AAAAABY/uU0=")</f>
        <v>#VALUE!</v>
      </c>
      <c r="CA12" t="e">
        <f>AND('Female Individual Rope Singles'!E47,"AAAAABY/uU4=")</f>
        <v>#VALUE!</v>
      </c>
      <c r="CB12" t="e">
        <f>AND('Female Individual Rope Singles'!F47,"AAAAABY/uU8=")</f>
        <v>#VALUE!</v>
      </c>
      <c r="CC12" t="e">
        <f>AND('Female Individual Rope Singles'!G47,"AAAAABY/uVA=")</f>
        <v>#VALUE!</v>
      </c>
      <c r="CD12" t="b">
        <f>AND('Female Individual Rope Singles'!H47,"AAAAABY/uVE=")</f>
        <v>1</v>
      </c>
      <c r="CE12" t="e">
        <f>AND('Female Individual Rope Singles'!I47,"AAAAABY/uVI=")</f>
        <v>#VALUE!</v>
      </c>
      <c r="CF12" t="b">
        <f>AND('Female Individual Rope Singles'!J47,"AAAAABY/uVM=")</f>
        <v>1</v>
      </c>
      <c r="CG12" t="e">
        <f>AND('Female Individual Rope Singles'!K47,"AAAAABY/uVQ=")</f>
        <v>#VALUE!</v>
      </c>
      <c r="CH12" t="e">
        <f>AND('Female Individual Rope Singles'!L47,"AAAAABY/uVU=")</f>
        <v>#VALUE!</v>
      </c>
      <c r="CI12" t="e">
        <f>AND('Female Individual Rope Singles'!M47,"AAAAABY/uVY=")</f>
        <v>#VALUE!</v>
      </c>
      <c r="CJ12">
        <f>IF('Female Individual Rope Singles'!48:48,"AAAAABY/uVc=",0)</f>
        <v>0</v>
      </c>
      <c r="CK12" t="b">
        <f>AND('Female Individual Rope Singles'!A48,"AAAAABY/uVg=")</f>
        <v>1</v>
      </c>
      <c r="CL12" t="e">
        <f>AND('Female Individual Rope Singles'!B48,"AAAAABY/uVk=")</f>
        <v>#VALUE!</v>
      </c>
      <c r="CM12" t="b">
        <f>AND('Female Individual Rope Singles'!C48,"AAAAABY/uVo=")</f>
        <v>1</v>
      </c>
      <c r="CN12" t="e">
        <f>AND('Female Individual Rope Singles'!D48,"AAAAABY/uVs=")</f>
        <v>#VALUE!</v>
      </c>
      <c r="CO12" t="e">
        <f>AND('Female Individual Rope Singles'!E48,"AAAAABY/uVw=")</f>
        <v>#VALUE!</v>
      </c>
      <c r="CP12" t="e">
        <f>AND('Female Individual Rope Singles'!F48,"AAAAABY/uV0=")</f>
        <v>#VALUE!</v>
      </c>
      <c r="CQ12" t="e">
        <f>AND('Female Individual Rope Singles'!G48,"AAAAABY/uV4=")</f>
        <v>#VALUE!</v>
      </c>
      <c r="CR12" t="b">
        <f>AND('Female Individual Rope Singles'!H48,"AAAAABY/uV8=")</f>
        <v>1</v>
      </c>
      <c r="CS12" t="e">
        <f>AND('Female Individual Rope Singles'!I48,"AAAAABY/uWA=")</f>
        <v>#VALUE!</v>
      </c>
      <c r="CT12" t="b">
        <f>AND('Female Individual Rope Singles'!J48,"AAAAABY/uWE=")</f>
        <v>1</v>
      </c>
      <c r="CU12" t="e">
        <f>AND('Female Individual Rope Singles'!K48,"AAAAABY/uWI=")</f>
        <v>#VALUE!</v>
      </c>
      <c r="CV12" t="e">
        <f>AND('Female Individual Rope Singles'!L48,"AAAAABY/uWM=")</f>
        <v>#VALUE!</v>
      </c>
      <c r="CW12" t="e">
        <f>AND('Female Individual Rope Singles'!M48,"AAAAABY/uWQ=")</f>
        <v>#VALUE!</v>
      </c>
      <c r="CX12">
        <f>IF('Female Individual Rope Singles'!49:49,"AAAAABY/uWU=",0)</f>
        <v>0</v>
      </c>
      <c r="CY12" t="b">
        <f>AND('Female Individual Rope Singles'!A49,"AAAAABY/uWY=")</f>
        <v>1</v>
      </c>
      <c r="CZ12" t="e">
        <f>AND('Female Individual Rope Singles'!B49,"AAAAABY/uWc=")</f>
        <v>#VALUE!</v>
      </c>
      <c r="DA12" t="b">
        <f>AND('Female Individual Rope Singles'!C49,"AAAAABY/uWg=")</f>
        <v>1</v>
      </c>
      <c r="DB12" t="e">
        <f>AND('Female Individual Rope Singles'!D49,"AAAAABY/uWk=")</f>
        <v>#VALUE!</v>
      </c>
      <c r="DC12" t="e">
        <f>AND('Female Individual Rope Singles'!E49,"AAAAABY/uWo=")</f>
        <v>#VALUE!</v>
      </c>
      <c r="DD12" t="e">
        <f>AND('Female Individual Rope Singles'!F49,"AAAAABY/uWs=")</f>
        <v>#VALUE!</v>
      </c>
      <c r="DE12" t="e">
        <f>AND('Female Individual Rope Singles'!G49,"AAAAABY/uWw=")</f>
        <v>#VALUE!</v>
      </c>
      <c r="DF12" t="b">
        <f>AND('Female Individual Rope Singles'!H49,"AAAAABY/uW0=")</f>
        <v>1</v>
      </c>
      <c r="DG12" t="e">
        <f>AND('Female Individual Rope Singles'!I49,"AAAAABY/uW4=")</f>
        <v>#VALUE!</v>
      </c>
      <c r="DH12" t="b">
        <f>AND('Female Individual Rope Singles'!J49,"AAAAABY/uW8=")</f>
        <v>1</v>
      </c>
      <c r="DI12" t="e">
        <f>AND('Female Individual Rope Singles'!K49,"AAAAABY/uXA=")</f>
        <v>#VALUE!</v>
      </c>
      <c r="DJ12" t="e">
        <f>AND('Female Individual Rope Singles'!L49,"AAAAABY/uXE=")</f>
        <v>#VALUE!</v>
      </c>
      <c r="DK12" t="e">
        <f>AND('Female Individual Rope Singles'!M49,"AAAAABY/uXI=")</f>
        <v>#VALUE!</v>
      </c>
      <c r="DL12">
        <f>IF('Female Individual Rope Singles'!50:50,"AAAAABY/uXM=",0)</f>
        <v>0</v>
      </c>
      <c r="DM12" t="b">
        <f>AND('Female Individual Rope Singles'!A50,"AAAAABY/uXQ=")</f>
        <v>1</v>
      </c>
      <c r="DN12" t="e">
        <f>AND('Female Individual Rope Singles'!B50,"AAAAABY/uXU=")</f>
        <v>#VALUE!</v>
      </c>
      <c r="DO12" t="b">
        <f>AND('Female Individual Rope Singles'!C50,"AAAAABY/uXY=")</f>
        <v>1</v>
      </c>
      <c r="DP12" t="e">
        <f>AND('Female Individual Rope Singles'!D50,"AAAAABY/uXc=")</f>
        <v>#VALUE!</v>
      </c>
      <c r="DQ12" t="e">
        <f>AND('Female Individual Rope Singles'!E50,"AAAAABY/uXg=")</f>
        <v>#VALUE!</v>
      </c>
      <c r="DR12" t="e">
        <f>AND('Female Individual Rope Singles'!F50,"AAAAABY/uXk=")</f>
        <v>#VALUE!</v>
      </c>
      <c r="DS12" t="e">
        <f>AND('Female Individual Rope Singles'!G50,"AAAAABY/uXo=")</f>
        <v>#VALUE!</v>
      </c>
      <c r="DT12" t="b">
        <f>AND('Female Individual Rope Singles'!H50,"AAAAABY/uXs=")</f>
        <v>1</v>
      </c>
      <c r="DU12" t="e">
        <f>AND('Female Individual Rope Singles'!I50,"AAAAABY/uXw=")</f>
        <v>#VALUE!</v>
      </c>
      <c r="DV12" t="b">
        <f>AND('Female Individual Rope Singles'!J50,"AAAAABY/uX0=")</f>
        <v>1</v>
      </c>
      <c r="DW12" t="e">
        <f>AND('Female Individual Rope Singles'!K50,"AAAAABY/uX4=")</f>
        <v>#VALUE!</v>
      </c>
      <c r="DX12" t="e">
        <f>AND('Female Individual Rope Singles'!L50,"AAAAABY/uX8=")</f>
        <v>#VALUE!</v>
      </c>
      <c r="DY12" t="e">
        <f>AND('Female Individual Rope Singles'!M50,"AAAAABY/uYA=")</f>
        <v>#VALUE!</v>
      </c>
      <c r="DZ12">
        <f>IF('Female Individual Rope Singles'!51:51,"AAAAABY/uYE=",0)</f>
        <v>0</v>
      </c>
      <c r="EA12" t="b">
        <f>AND('Female Individual Rope Singles'!A51,"AAAAABY/uYI=")</f>
        <v>1</v>
      </c>
      <c r="EB12" t="e">
        <f>AND('Female Individual Rope Singles'!B51,"AAAAABY/uYM=")</f>
        <v>#VALUE!</v>
      </c>
      <c r="EC12" t="b">
        <f>AND('Female Individual Rope Singles'!C51,"AAAAABY/uYQ=")</f>
        <v>1</v>
      </c>
      <c r="ED12" t="e">
        <f>AND('Female Individual Rope Singles'!D51,"AAAAABY/uYU=")</f>
        <v>#VALUE!</v>
      </c>
      <c r="EE12" t="e">
        <f>AND('Female Individual Rope Singles'!E51,"AAAAABY/uYY=")</f>
        <v>#VALUE!</v>
      </c>
      <c r="EF12" t="e">
        <f>AND('Female Individual Rope Singles'!F51,"AAAAABY/uYc=")</f>
        <v>#VALUE!</v>
      </c>
      <c r="EG12" t="e">
        <f>AND('Female Individual Rope Singles'!G51,"AAAAABY/uYg=")</f>
        <v>#VALUE!</v>
      </c>
      <c r="EH12" t="b">
        <f>AND('Female Individual Rope Singles'!H51,"AAAAABY/uYk=")</f>
        <v>1</v>
      </c>
      <c r="EI12" t="e">
        <f>AND('Female Individual Rope Singles'!I51,"AAAAABY/uYo=")</f>
        <v>#VALUE!</v>
      </c>
      <c r="EJ12" t="b">
        <f>AND('Female Individual Rope Singles'!J51,"AAAAABY/uYs=")</f>
        <v>1</v>
      </c>
      <c r="EK12" t="e">
        <f>AND('Female Individual Rope Singles'!K51,"AAAAABY/uYw=")</f>
        <v>#VALUE!</v>
      </c>
      <c r="EL12" t="e">
        <f>AND('Female Individual Rope Singles'!L51,"AAAAABY/uY0=")</f>
        <v>#VALUE!</v>
      </c>
      <c r="EM12" t="e">
        <f>AND('Female Individual Rope Singles'!M51,"AAAAABY/uY4=")</f>
        <v>#VALUE!</v>
      </c>
      <c r="EN12">
        <f>IF('Female Individual Rope Singles'!52:52,"AAAAABY/uY8=",0)</f>
        <v>0</v>
      </c>
      <c r="EO12" t="b">
        <f>AND('Female Individual Rope Singles'!A52,"AAAAABY/uZA=")</f>
        <v>1</v>
      </c>
      <c r="EP12" t="e">
        <f>AND('Female Individual Rope Singles'!B52,"AAAAABY/uZE=")</f>
        <v>#VALUE!</v>
      </c>
      <c r="EQ12" t="b">
        <f>AND('Female Individual Rope Singles'!C52,"AAAAABY/uZI=")</f>
        <v>1</v>
      </c>
      <c r="ER12" t="e">
        <f>AND('Female Individual Rope Singles'!D52,"AAAAABY/uZM=")</f>
        <v>#VALUE!</v>
      </c>
      <c r="ES12" t="e">
        <f>AND('Female Individual Rope Singles'!E52,"AAAAABY/uZQ=")</f>
        <v>#VALUE!</v>
      </c>
      <c r="ET12" t="e">
        <f>AND('Female Individual Rope Singles'!F52,"AAAAABY/uZU=")</f>
        <v>#VALUE!</v>
      </c>
      <c r="EU12" t="e">
        <f>AND('Female Individual Rope Singles'!G52,"AAAAABY/uZY=")</f>
        <v>#VALUE!</v>
      </c>
      <c r="EV12" t="b">
        <f>AND('Female Individual Rope Singles'!H52,"AAAAABY/uZc=")</f>
        <v>1</v>
      </c>
      <c r="EW12" t="e">
        <f>AND('Female Individual Rope Singles'!I52,"AAAAABY/uZg=")</f>
        <v>#VALUE!</v>
      </c>
      <c r="EX12" t="b">
        <f>AND('Female Individual Rope Singles'!J52,"AAAAABY/uZk=")</f>
        <v>1</v>
      </c>
      <c r="EY12" t="e">
        <f>AND('Female Individual Rope Singles'!K52,"AAAAABY/uZo=")</f>
        <v>#VALUE!</v>
      </c>
      <c r="EZ12" t="e">
        <f>AND('Female Individual Rope Singles'!L52,"AAAAABY/uZs=")</f>
        <v>#VALUE!</v>
      </c>
      <c r="FA12" t="e">
        <f>AND('Female Individual Rope Singles'!M52,"AAAAABY/uZw=")</f>
        <v>#VALUE!</v>
      </c>
      <c r="FB12">
        <f>IF('Female Individual Rope Singles'!53:53,"AAAAABY/uZ0=",0)</f>
        <v>0</v>
      </c>
      <c r="FC12" t="b">
        <f>AND('Female Individual Rope Singles'!A53,"AAAAABY/uZ4=")</f>
        <v>1</v>
      </c>
      <c r="FD12" t="e">
        <f>AND('Female Individual Rope Singles'!B53,"AAAAABY/uZ8=")</f>
        <v>#VALUE!</v>
      </c>
      <c r="FE12" t="b">
        <f>AND('Female Individual Rope Singles'!C53,"AAAAABY/uaA=")</f>
        <v>1</v>
      </c>
      <c r="FF12" t="e">
        <f>AND('Female Individual Rope Singles'!D53,"AAAAABY/uaE=")</f>
        <v>#VALUE!</v>
      </c>
      <c r="FG12" t="e">
        <f>AND('Female Individual Rope Singles'!E53,"AAAAABY/uaI=")</f>
        <v>#VALUE!</v>
      </c>
      <c r="FH12" t="e">
        <f>AND('Female Individual Rope Singles'!F53,"AAAAABY/uaM=")</f>
        <v>#VALUE!</v>
      </c>
      <c r="FI12" t="e">
        <f>AND('Female Individual Rope Singles'!G53,"AAAAABY/uaQ=")</f>
        <v>#VALUE!</v>
      </c>
      <c r="FJ12" t="b">
        <f>AND('Female Individual Rope Singles'!H53,"AAAAABY/uaU=")</f>
        <v>1</v>
      </c>
      <c r="FK12" t="e">
        <f>AND('Female Individual Rope Singles'!I53,"AAAAABY/uaY=")</f>
        <v>#VALUE!</v>
      </c>
      <c r="FL12" t="b">
        <f>AND('Female Individual Rope Singles'!J53,"AAAAABY/uac=")</f>
        <v>1</v>
      </c>
      <c r="FM12" t="e">
        <f>AND('Female Individual Rope Singles'!K53,"AAAAABY/uag=")</f>
        <v>#VALUE!</v>
      </c>
      <c r="FN12" t="e">
        <f>AND('Female Individual Rope Singles'!L53,"AAAAABY/uak=")</f>
        <v>#VALUE!</v>
      </c>
      <c r="FO12" t="e">
        <f>AND('Female Individual Rope Singles'!M53,"AAAAABY/uao=")</f>
        <v>#VALUE!</v>
      </c>
      <c r="FP12">
        <f>IF('Female Individual Rope Singles'!54:54,"AAAAABY/uas=",0)</f>
        <v>0</v>
      </c>
      <c r="FQ12" t="b">
        <f>AND('Female Individual Rope Singles'!A54,"AAAAABY/uaw=")</f>
        <v>1</v>
      </c>
      <c r="FR12" t="e">
        <f>AND('Female Individual Rope Singles'!B54,"AAAAABY/ua0=")</f>
        <v>#VALUE!</v>
      </c>
      <c r="FS12" t="b">
        <f>AND('Female Individual Rope Singles'!C54,"AAAAABY/ua4=")</f>
        <v>1</v>
      </c>
      <c r="FT12" t="e">
        <f>AND('Female Individual Rope Singles'!D54,"AAAAABY/ua8=")</f>
        <v>#VALUE!</v>
      </c>
      <c r="FU12" t="e">
        <f>AND('Female Individual Rope Singles'!E54,"AAAAABY/ubA=")</f>
        <v>#VALUE!</v>
      </c>
      <c r="FV12" t="e">
        <f>AND('Female Individual Rope Singles'!F54,"AAAAABY/ubE=")</f>
        <v>#VALUE!</v>
      </c>
      <c r="FW12" t="e">
        <f>AND('Female Individual Rope Singles'!G54,"AAAAABY/ubI=")</f>
        <v>#VALUE!</v>
      </c>
      <c r="FX12" t="b">
        <f>AND('Female Individual Rope Singles'!H54,"AAAAABY/ubM=")</f>
        <v>1</v>
      </c>
      <c r="FY12" t="e">
        <f>AND('Female Individual Rope Singles'!I54,"AAAAABY/ubQ=")</f>
        <v>#VALUE!</v>
      </c>
      <c r="FZ12" t="b">
        <f>AND('Female Individual Rope Singles'!J54,"AAAAABY/ubU=")</f>
        <v>1</v>
      </c>
      <c r="GA12" t="e">
        <f>AND('Female Individual Rope Singles'!K54,"AAAAABY/ubY=")</f>
        <v>#VALUE!</v>
      </c>
      <c r="GB12" t="e">
        <f>AND('Female Individual Rope Singles'!L54,"AAAAABY/ubc=")</f>
        <v>#VALUE!</v>
      </c>
      <c r="GC12" t="e">
        <f>AND('Female Individual Rope Singles'!M54,"AAAAABY/ubg=")</f>
        <v>#VALUE!</v>
      </c>
      <c r="GD12">
        <f>IF('Female Individual Rope Singles'!55:55,"AAAAABY/ubk=",0)</f>
        <v>0</v>
      </c>
      <c r="GE12" t="b">
        <f>AND('Female Individual Rope Singles'!A55,"AAAAABY/ubo=")</f>
        <v>1</v>
      </c>
      <c r="GF12" t="e">
        <f>AND('Female Individual Rope Singles'!B55,"AAAAABY/ubs=")</f>
        <v>#VALUE!</v>
      </c>
      <c r="GG12" t="b">
        <f>AND('Female Individual Rope Singles'!C55,"AAAAABY/ubw=")</f>
        <v>1</v>
      </c>
      <c r="GH12" t="e">
        <f>AND('Female Individual Rope Singles'!D55,"AAAAABY/ub0=")</f>
        <v>#VALUE!</v>
      </c>
      <c r="GI12" t="e">
        <f>AND('Female Individual Rope Singles'!E55,"AAAAABY/ub4=")</f>
        <v>#VALUE!</v>
      </c>
      <c r="GJ12" t="e">
        <f>AND('Female Individual Rope Singles'!F55,"AAAAABY/ub8=")</f>
        <v>#VALUE!</v>
      </c>
      <c r="GK12" t="e">
        <f>AND('Female Individual Rope Singles'!G55,"AAAAABY/ucA=")</f>
        <v>#VALUE!</v>
      </c>
      <c r="GL12" t="b">
        <f>AND('Female Individual Rope Singles'!H55,"AAAAABY/ucE=")</f>
        <v>1</v>
      </c>
      <c r="GM12" t="e">
        <f>AND('Female Individual Rope Singles'!I55,"AAAAABY/ucI=")</f>
        <v>#VALUE!</v>
      </c>
      <c r="GN12" t="b">
        <f>AND('Female Individual Rope Singles'!J55,"AAAAABY/ucM=")</f>
        <v>1</v>
      </c>
      <c r="GO12" t="e">
        <f>AND('Female Individual Rope Singles'!K55,"AAAAABY/ucQ=")</f>
        <v>#VALUE!</v>
      </c>
      <c r="GP12" t="e">
        <f>AND('Female Individual Rope Singles'!L55,"AAAAABY/ucU=")</f>
        <v>#VALUE!</v>
      </c>
      <c r="GQ12" t="e">
        <f>AND('Female Individual Rope Singles'!M55,"AAAAABY/ucY=")</f>
        <v>#VALUE!</v>
      </c>
      <c r="GR12">
        <f>IF('Female Individual Rope Singles'!56:56,"AAAAABY/ucc=",0)</f>
        <v>0</v>
      </c>
      <c r="GS12" t="b">
        <f>AND('Female Individual Rope Singles'!A56,"AAAAABY/ucg=")</f>
        <v>1</v>
      </c>
      <c r="GT12" t="e">
        <f>AND('Female Individual Rope Singles'!B56,"AAAAABY/uck=")</f>
        <v>#VALUE!</v>
      </c>
      <c r="GU12" t="b">
        <f>AND('Female Individual Rope Singles'!C56,"AAAAABY/uco=")</f>
        <v>1</v>
      </c>
      <c r="GV12" t="e">
        <f>AND('Female Individual Rope Singles'!D56,"AAAAABY/ucs=")</f>
        <v>#VALUE!</v>
      </c>
      <c r="GW12" t="e">
        <f>AND('Female Individual Rope Singles'!E56,"AAAAABY/ucw=")</f>
        <v>#VALUE!</v>
      </c>
      <c r="GX12" t="e">
        <f>AND('Female Individual Rope Singles'!F56,"AAAAABY/uc0=")</f>
        <v>#VALUE!</v>
      </c>
      <c r="GY12" t="e">
        <f>AND('Female Individual Rope Singles'!G56,"AAAAABY/uc4=")</f>
        <v>#VALUE!</v>
      </c>
      <c r="GZ12" t="b">
        <f>AND('Female Individual Rope Singles'!H56,"AAAAABY/uc8=")</f>
        <v>1</v>
      </c>
      <c r="HA12" t="e">
        <f>AND('Female Individual Rope Singles'!I56,"AAAAABY/udA=")</f>
        <v>#VALUE!</v>
      </c>
      <c r="HB12" t="b">
        <f>AND('Female Individual Rope Singles'!J56,"AAAAABY/udE=")</f>
        <v>1</v>
      </c>
      <c r="HC12" t="e">
        <f>AND('Female Individual Rope Singles'!K56,"AAAAABY/udI=")</f>
        <v>#VALUE!</v>
      </c>
      <c r="HD12" t="e">
        <f>AND('Female Individual Rope Singles'!L56,"AAAAABY/udM=")</f>
        <v>#VALUE!</v>
      </c>
      <c r="HE12" t="e">
        <f>AND('Female Individual Rope Singles'!M56,"AAAAABY/udQ=")</f>
        <v>#VALUE!</v>
      </c>
      <c r="HF12">
        <f>IF('Female Individual Rope Singles'!57:57,"AAAAABY/udU=",0)</f>
        <v>0</v>
      </c>
      <c r="HG12" t="b">
        <f>AND('Female Individual Rope Singles'!A57,"AAAAABY/udY=")</f>
        <v>1</v>
      </c>
      <c r="HH12" t="e">
        <f>AND('Female Individual Rope Singles'!B57,"AAAAABY/udc=")</f>
        <v>#VALUE!</v>
      </c>
      <c r="HI12" t="b">
        <f>AND('Female Individual Rope Singles'!C57,"AAAAABY/udg=")</f>
        <v>1</v>
      </c>
      <c r="HJ12" t="e">
        <f>AND('Female Individual Rope Singles'!D57,"AAAAABY/udk=")</f>
        <v>#VALUE!</v>
      </c>
      <c r="HK12" t="e">
        <f>AND('Female Individual Rope Singles'!E57,"AAAAABY/udo=")</f>
        <v>#VALUE!</v>
      </c>
      <c r="HL12" t="e">
        <f>AND('Female Individual Rope Singles'!F57,"AAAAABY/uds=")</f>
        <v>#VALUE!</v>
      </c>
      <c r="HM12" t="e">
        <f>AND('Female Individual Rope Singles'!G57,"AAAAABY/udw=")</f>
        <v>#VALUE!</v>
      </c>
      <c r="HN12" t="b">
        <f>AND('Female Individual Rope Singles'!H57,"AAAAABY/ud0=")</f>
        <v>1</v>
      </c>
      <c r="HO12" t="e">
        <f>AND('Female Individual Rope Singles'!I57,"AAAAABY/ud4=")</f>
        <v>#VALUE!</v>
      </c>
      <c r="HP12" t="b">
        <f>AND('Female Individual Rope Singles'!J57,"AAAAABY/ud8=")</f>
        <v>1</v>
      </c>
      <c r="HQ12" t="e">
        <f>AND('Female Individual Rope Singles'!K57,"AAAAABY/ueA=")</f>
        <v>#VALUE!</v>
      </c>
      <c r="HR12" t="e">
        <f>AND('Female Individual Rope Singles'!L57,"AAAAABY/ueE=")</f>
        <v>#VALUE!</v>
      </c>
      <c r="HS12" t="e">
        <f>AND('Female Individual Rope Singles'!M57,"AAAAABY/ueI=")</f>
        <v>#VALUE!</v>
      </c>
      <c r="HT12">
        <f>IF('Female Individual Rope Singles'!58:58,"AAAAABY/ueM=",0)</f>
        <v>0</v>
      </c>
      <c r="HU12" t="b">
        <f>AND('Female Individual Rope Singles'!A58,"AAAAABY/ueQ=")</f>
        <v>1</v>
      </c>
      <c r="HV12" t="e">
        <f>AND('Female Individual Rope Singles'!B58,"AAAAABY/ueU=")</f>
        <v>#VALUE!</v>
      </c>
      <c r="HW12" t="b">
        <f>AND('Female Individual Rope Singles'!C58,"AAAAABY/ueY=")</f>
        <v>1</v>
      </c>
      <c r="HX12" t="e">
        <f>AND('Female Individual Rope Singles'!D58,"AAAAABY/uec=")</f>
        <v>#VALUE!</v>
      </c>
      <c r="HY12" t="e">
        <f>AND('Female Individual Rope Singles'!E58,"AAAAABY/ueg=")</f>
        <v>#VALUE!</v>
      </c>
      <c r="HZ12" t="e">
        <f>AND('Female Individual Rope Singles'!F58,"AAAAABY/uek=")</f>
        <v>#VALUE!</v>
      </c>
      <c r="IA12" t="e">
        <f>AND('Female Individual Rope Singles'!G58,"AAAAABY/ueo=")</f>
        <v>#VALUE!</v>
      </c>
      <c r="IB12" t="b">
        <f>AND('Female Individual Rope Singles'!H58,"AAAAABY/ues=")</f>
        <v>1</v>
      </c>
      <c r="IC12" t="e">
        <f>AND('Female Individual Rope Singles'!I58,"AAAAABY/uew=")</f>
        <v>#VALUE!</v>
      </c>
      <c r="ID12" t="b">
        <f>AND('Female Individual Rope Singles'!J58,"AAAAABY/ue0=")</f>
        <v>1</v>
      </c>
      <c r="IE12" t="e">
        <f>AND('Female Individual Rope Singles'!K58,"AAAAABY/ue4=")</f>
        <v>#VALUE!</v>
      </c>
      <c r="IF12" t="e">
        <f>AND('Female Individual Rope Singles'!L58,"AAAAABY/ue8=")</f>
        <v>#VALUE!</v>
      </c>
      <c r="IG12" t="e">
        <f>AND('Female Individual Rope Singles'!M58,"AAAAABY/ufA=")</f>
        <v>#VALUE!</v>
      </c>
      <c r="IH12">
        <f>IF('Female Individual Rope Singles'!59:59,"AAAAABY/ufE=",0)</f>
        <v>0</v>
      </c>
      <c r="II12" t="b">
        <f>AND('Female Individual Rope Singles'!A59,"AAAAABY/ufI=")</f>
        <v>1</v>
      </c>
      <c r="IJ12" t="e">
        <f>AND('Female Individual Rope Singles'!B59,"AAAAABY/ufM=")</f>
        <v>#VALUE!</v>
      </c>
      <c r="IK12" t="e">
        <f>AND('Female Individual Rope Singles'!C59,"AAAAABY/ufQ=")</f>
        <v>#VALUE!</v>
      </c>
      <c r="IL12" t="e">
        <f>AND('Female Individual Rope Singles'!D59,"AAAAABY/ufU=")</f>
        <v>#VALUE!</v>
      </c>
      <c r="IM12" t="e">
        <f>AND('Female Individual Rope Singles'!E59,"AAAAABY/ufY=")</f>
        <v>#VALUE!</v>
      </c>
      <c r="IN12" t="e">
        <f>AND('Female Individual Rope Singles'!F59,"AAAAABY/ufc=")</f>
        <v>#VALUE!</v>
      </c>
      <c r="IO12" t="e">
        <f>AND('Female Individual Rope Singles'!G59,"AAAAABY/ufg=")</f>
        <v>#VALUE!</v>
      </c>
      <c r="IP12" t="e">
        <f>AND('Female Individual Rope Singles'!H59,"AAAAABY/ufk=")</f>
        <v>#VALUE!</v>
      </c>
      <c r="IQ12" t="e">
        <f>AND('Female Individual Rope Singles'!I59,"AAAAABY/ufo=")</f>
        <v>#VALUE!</v>
      </c>
      <c r="IR12" t="e">
        <f>AND('Female Individual Rope Singles'!J59,"AAAAABY/ufs=")</f>
        <v>#VALUE!</v>
      </c>
      <c r="IS12" t="e">
        <f>AND('Female Individual Rope Singles'!K59,"AAAAABY/ufw=")</f>
        <v>#VALUE!</v>
      </c>
      <c r="IT12" t="e">
        <f>AND('Female Individual Rope Singles'!L59,"AAAAABY/uf0=")</f>
        <v>#VALUE!</v>
      </c>
      <c r="IU12" t="e">
        <f>AND('Female Individual Rope Singles'!M59,"AAAAABY/uf4=")</f>
        <v>#VALUE!</v>
      </c>
      <c r="IV12">
        <f>IF('Female Individual Rope Singles'!60:60,"AAAAABY/uf8=",0)</f>
        <v>0</v>
      </c>
    </row>
    <row r="13" spans="1:256" x14ac:dyDescent="0.25">
      <c r="A13" t="e">
        <f>AND('Female Individual Rope Singles'!A60,"AAAAAHo+vAA=")</f>
        <v>#VALUE!</v>
      </c>
      <c r="B13" t="e">
        <f>AND('Female Individual Rope Singles'!B60,"AAAAAHo+vAE=")</f>
        <v>#VALUE!</v>
      </c>
      <c r="C13" t="e">
        <f>AND('Female Individual Rope Singles'!C60,"AAAAAHo+vAI=")</f>
        <v>#VALUE!</v>
      </c>
      <c r="D13" t="e">
        <f>AND('Female Individual Rope Singles'!D60,"AAAAAHo+vAM=")</f>
        <v>#VALUE!</v>
      </c>
      <c r="E13" t="e">
        <f>AND('Female Individual Rope Singles'!E60,"AAAAAHo+vAQ=")</f>
        <v>#VALUE!</v>
      </c>
      <c r="F13" t="e">
        <f>AND('Female Individual Rope Singles'!F60,"AAAAAHo+vAU=")</f>
        <v>#VALUE!</v>
      </c>
      <c r="G13" t="e">
        <f>AND('Female Individual Rope Singles'!G60,"AAAAAHo+vAY=")</f>
        <v>#VALUE!</v>
      </c>
      <c r="H13" t="e">
        <f>AND('Female Individual Rope Singles'!H60,"AAAAAHo+vAc=")</f>
        <v>#VALUE!</v>
      </c>
      <c r="I13" t="e">
        <f>AND('Female Individual Rope Singles'!I60,"AAAAAHo+vAg=")</f>
        <v>#VALUE!</v>
      </c>
      <c r="J13" t="e">
        <f>AND('Female Individual Rope Singles'!J60,"AAAAAHo+vAk=")</f>
        <v>#VALUE!</v>
      </c>
      <c r="K13" t="e">
        <f>AND('Female Individual Rope Singles'!K60,"AAAAAHo+vAo=")</f>
        <v>#VALUE!</v>
      </c>
      <c r="L13" t="e">
        <f>AND('Female Individual Rope Singles'!L60,"AAAAAHo+vAs=")</f>
        <v>#VALUE!</v>
      </c>
      <c r="M13" t="e">
        <f>AND('Female Individual Rope Singles'!M60,"AAAAAHo+vAw=")</f>
        <v>#VALUE!</v>
      </c>
      <c r="N13">
        <f>IF('Female Individual Rope Singles'!61:61,"AAAAAHo+vA0=",0)</f>
        <v>0</v>
      </c>
      <c r="O13" t="b">
        <f>AND('Female Individual Rope Singles'!A61,"AAAAAHo+vA4=")</f>
        <v>1</v>
      </c>
      <c r="P13" t="e">
        <f>AND('Female Individual Rope Singles'!B61,"AAAAAHo+vA8=")</f>
        <v>#VALUE!</v>
      </c>
      <c r="Q13" t="b">
        <f>AND('Female Individual Rope Singles'!C61,"AAAAAHo+vBA=")</f>
        <v>1</v>
      </c>
      <c r="R13" t="e">
        <f>AND('Female Individual Rope Singles'!D61,"AAAAAHo+vBE=")</f>
        <v>#VALUE!</v>
      </c>
      <c r="S13" t="e">
        <f>AND('Female Individual Rope Singles'!E61,"AAAAAHo+vBI=")</f>
        <v>#VALUE!</v>
      </c>
      <c r="T13" t="e">
        <f>AND('Female Individual Rope Singles'!F61,"AAAAAHo+vBM=")</f>
        <v>#VALUE!</v>
      </c>
      <c r="U13" t="e">
        <f>AND('Female Individual Rope Singles'!G61,"AAAAAHo+vBQ=")</f>
        <v>#VALUE!</v>
      </c>
      <c r="V13" t="b">
        <f>AND('Female Individual Rope Singles'!H61,"AAAAAHo+vBU=")</f>
        <v>1</v>
      </c>
      <c r="W13" t="e">
        <f>AND('Female Individual Rope Singles'!I61,"AAAAAHo+vBY=")</f>
        <v>#VALUE!</v>
      </c>
      <c r="X13" t="e">
        <f>AND('Female Individual Rope Singles'!J61,"AAAAAHo+vBc=")</f>
        <v>#VALUE!</v>
      </c>
      <c r="Y13" t="e">
        <f>AND('Female Individual Rope Singles'!K61,"AAAAAHo+vBg=")</f>
        <v>#VALUE!</v>
      </c>
      <c r="Z13" t="e">
        <f>AND('Female Individual Rope Singles'!L61,"AAAAAHo+vBk=")</f>
        <v>#VALUE!</v>
      </c>
      <c r="AA13" t="e">
        <f>AND('Female Individual Rope Singles'!M61,"AAAAAHo+vBo=")</f>
        <v>#VALUE!</v>
      </c>
      <c r="AB13">
        <f>IF('Female Individual Rope Singles'!62:62,"AAAAAHo+vBs=",0)</f>
        <v>0</v>
      </c>
      <c r="AC13" t="b">
        <f>AND('Female Individual Rope Singles'!A62,"AAAAAHo+vBw=")</f>
        <v>1</v>
      </c>
      <c r="AD13" t="e">
        <f>AND('Female Individual Rope Singles'!B62,"AAAAAHo+vB0=")</f>
        <v>#VALUE!</v>
      </c>
      <c r="AE13" t="b">
        <f>AND('Female Individual Rope Singles'!C62,"AAAAAHo+vB4=")</f>
        <v>1</v>
      </c>
      <c r="AF13" t="e">
        <f>AND('Female Individual Rope Singles'!D62,"AAAAAHo+vB8=")</f>
        <v>#VALUE!</v>
      </c>
      <c r="AG13" t="e">
        <f>AND('Female Individual Rope Singles'!E62,"AAAAAHo+vCA=")</f>
        <v>#VALUE!</v>
      </c>
      <c r="AH13" t="e">
        <f>AND('Female Individual Rope Singles'!F62,"AAAAAHo+vCE=")</f>
        <v>#VALUE!</v>
      </c>
      <c r="AI13" t="e">
        <f>AND('Female Individual Rope Singles'!G62,"AAAAAHo+vCI=")</f>
        <v>#VALUE!</v>
      </c>
      <c r="AJ13" t="b">
        <f>AND('Female Individual Rope Singles'!H62,"AAAAAHo+vCM=")</f>
        <v>1</v>
      </c>
      <c r="AK13" t="e">
        <f>AND('Female Individual Rope Singles'!I62,"AAAAAHo+vCQ=")</f>
        <v>#VALUE!</v>
      </c>
      <c r="AL13" t="e">
        <f>AND('Female Individual Rope Singles'!J62,"AAAAAHo+vCU=")</f>
        <v>#VALUE!</v>
      </c>
      <c r="AM13" t="e">
        <f>AND('Female Individual Rope Singles'!K62,"AAAAAHo+vCY=")</f>
        <v>#VALUE!</v>
      </c>
      <c r="AN13" t="e">
        <f>AND('Female Individual Rope Singles'!L62,"AAAAAHo+vCc=")</f>
        <v>#VALUE!</v>
      </c>
      <c r="AO13" t="e">
        <f>AND('Female Individual Rope Singles'!M62,"AAAAAHo+vCg=")</f>
        <v>#VALUE!</v>
      </c>
      <c r="AP13">
        <f>IF('Female Individual Rope Singles'!63:63,"AAAAAHo+vCk=",0)</f>
        <v>0</v>
      </c>
      <c r="AQ13" t="b">
        <f>AND('Female Individual Rope Singles'!A63,"AAAAAHo+vCo=")</f>
        <v>1</v>
      </c>
      <c r="AR13" t="e">
        <f>AND('Female Individual Rope Singles'!B63,"AAAAAHo+vCs=")</f>
        <v>#VALUE!</v>
      </c>
      <c r="AS13" t="b">
        <f>AND('Female Individual Rope Singles'!C63,"AAAAAHo+vCw=")</f>
        <v>1</v>
      </c>
      <c r="AT13" t="e">
        <f>AND('Female Individual Rope Singles'!D63,"AAAAAHo+vC0=")</f>
        <v>#VALUE!</v>
      </c>
      <c r="AU13" t="e">
        <f>AND('Female Individual Rope Singles'!E63,"AAAAAHo+vC4=")</f>
        <v>#VALUE!</v>
      </c>
      <c r="AV13" t="e">
        <f>AND('Female Individual Rope Singles'!F63,"AAAAAHo+vC8=")</f>
        <v>#VALUE!</v>
      </c>
      <c r="AW13" t="e">
        <f>AND('Female Individual Rope Singles'!G63,"AAAAAHo+vDA=")</f>
        <v>#VALUE!</v>
      </c>
      <c r="AX13" t="b">
        <f>AND('Female Individual Rope Singles'!H63,"AAAAAHo+vDE=")</f>
        <v>1</v>
      </c>
      <c r="AY13" t="e">
        <f>AND('Female Individual Rope Singles'!I63,"AAAAAHo+vDI=")</f>
        <v>#VALUE!</v>
      </c>
      <c r="AZ13" t="e">
        <f>AND('Female Individual Rope Singles'!J63,"AAAAAHo+vDM=")</f>
        <v>#VALUE!</v>
      </c>
      <c r="BA13" t="e">
        <f>AND('Female Individual Rope Singles'!K63,"AAAAAHo+vDQ=")</f>
        <v>#VALUE!</v>
      </c>
      <c r="BB13" t="e">
        <f>AND('Female Individual Rope Singles'!L63,"AAAAAHo+vDU=")</f>
        <v>#VALUE!</v>
      </c>
      <c r="BC13" t="e">
        <f>AND('Female Individual Rope Singles'!M63,"AAAAAHo+vDY=")</f>
        <v>#VALUE!</v>
      </c>
      <c r="BD13">
        <f>IF('Female Individual Rope Singles'!64:64,"AAAAAHo+vDc=",0)</f>
        <v>0</v>
      </c>
      <c r="BE13" t="b">
        <f>AND('Female Individual Rope Singles'!A64,"AAAAAHo+vDg=")</f>
        <v>1</v>
      </c>
      <c r="BF13" t="e">
        <f>AND('Female Individual Rope Singles'!B64,"AAAAAHo+vDk=")</f>
        <v>#VALUE!</v>
      </c>
      <c r="BG13" t="b">
        <f>AND('Female Individual Rope Singles'!C64,"AAAAAHo+vDo=")</f>
        <v>1</v>
      </c>
      <c r="BH13" t="e">
        <f>AND('Female Individual Rope Singles'!D64,"AAAAAHo+vDs=")</f>
        <v>#VALUE!</v>
      </c>
      <c r="BI13" t="e">
        <f>AND('Female Individual Rope Singles'!E64,"AAAAAHo+vDw=")</f>
        <v>#VALUE!</v>
      </c>
      <c r="BJ13" t="e">
        <f>AND('Female Individual Rope Singles'!F64,"AAAAAHo+vD0=")</f>
        <v>#VALUE!</v>
      </c>
      <c r="BK13" t="e">
        <f>AND('Female Individual Rope Singles'!G64,"AAAAAHo+vD4=")</f>
        <v>#VALUE!</v>
      </c>
      <c r="BL13" t="b">
        <f>AND('Female Individual Rope Singles'!H64,"AAAAAHo+vD8=")</f>
        <v>1</v>
      </c>
      <c r="BM13" t="e">
        <f>AND('Female Individual Rope Singles'!I64,"AAAAAHo+vEA=")</f>
        <v>#VALUE!</v>
      </c>
      <c r="BN13" t="e">
        <f>AND('Female Individual Rope Singles'!J64,"AAAAAHo+vEE=")</f>
        <v>#VALUE!</v>
      </c>
      <c r="BO13" t="e">
        <f>AND('Female Individual Rope Singles'!K64,"AAAAAHo+vEI=")</f>
        <v>#VALUE!</v>
      </c>
      <c r="BP13" t="e">
        <f>AND('Female Individual Rope Singles'!L64,"AAAAAHo+vEM=")</f>
        <v>#VALUE!</v>
      </c>
      <c r="BQ13" t="e">
        <f>AND('Female Individual Rope Singles'!M64,"AAAAAHo+vEQ=")</f>
        <v>#VALUE!</v>
      </c>
      <c r="BR13">
        <f>IF('Female Individual Rope Singles'!65:65,"AAAAAHo+vEU=",0)</f>
        <v>0</v>
      </c>
      <c r="BS13" t="b">
        <f>AND('Female Individual Rope Singles'!A65,"AAAAAHo+vEY=")</f>
        <v>1</v>
      </c>
      <c r="BT13" t="e">
        <f>AND('Female Individual Rope Singles'!B65,"AAAAAHo+vEc=")</f>
        <v>#VALUE!</v>
      </c>
      <c r="BU13" t="b">
        <f>AND('Female Individual Rope Singles'!C65,"AAAAAHo+vEg=")</f>
        <v>1</v>
      </c>
      <c r="BV13" t="e">
        <f>AND('Female Individual Rope Singles'!D65,"AAAAAHo+vEk=")</f>
        <v>#VALUE!</v>
      </c>
      <c r="BW13" t="e">
        <f>AND('Female Individual Rope Singles'!E65,"AAAAAHo+vEo=")</f>
        <v>#VALUE!</v>
      </c>
      <c r="BX13" t="e">
        <f>AND('Female Individual Rope Singles'!F65,"AAAAAHo+vEs=")</f>
        <v>#VALUE!</v>
      </c>
      <c r="BY13" t="e">
        <f>AND('Female Individual Rope Singles'!G65,"AAAAAHo+vEw=")</f>
        <v>#VALUE!</v>
      </c>
      <c r="BZ13" t="b">
        <f>AND('Female Individual Rope Singles'!H65,"AAAAAHo+vE0=")</f>
        <v>1</v>
      </c>
      <c r="CA13" t="e">
        <f>AND('Female Individual Rope Singles'!I65,"AAAAAHo+vE4=")</f>
        <v>#VALUE!</v>
      </c>
      <c r="CB13" t="e">
        <f>AND('Female Individual Rope Singles'!J65,"AAAAAHo+vE8=")</f>
        <v>#VALUE!</v>
      </c>
      <c r="CC13" t="e">
        <f>AND('Female Individual Rope Singles'!K65,"AAAAAHo+vFA=")</f>
        <v>#VALUE!</v>
      </c>
      <c r="CD13" t="e">
        <f>AND('Female Individual Rope Singles'!L65,"AAAAAHo+vFE=")</f>
        <v>#VALUE!</v>
      </c>
      <c r="CE13" t="e">
        <f>AND('Female Individual Rope Singles'!M65,"AAAAAHo+vFI=")</f>
        <v>#VALUE!</v>
      </c>
      <c r="CF13">
        <f>IF('Female Individual Rope Singles'!66:66,"AAAAAHo+vFM=",0)</f>
        <v>0</v>
      </c>
      <c r="CG13" t="b">
        <f>AND('Female Individual Rope Singles'!A66,"AAAAAHo+vFQ=")</f>
        <v>1</v>
      </c>
      <c r="CH13" t="e">
        <f>AND('Female Individual Rope Singles'!B66,"AAAAAHo+vFU=")</f>
        <v>#VALUE!</v>
      </c>
      <c r="CI13" t="b">
        <f>AND('Female Individual Rope Singles'!C66,"AAAAAHo+vFY=")</f>
        <v>1</v>
      </c>
      <c r="CJ13" t="e">
        <f>AND('Female Individual Rope Singles'!D66,"AAAAAHo+vFc=")</f>
        <v>#VALUE!</v>
      </c>
      <c r="CK13" t="e">
        <f>AND('Female Individual Rope Singles'!E66,"AAAAAHo+vFg=")</f>
        <v>#VALUE!</v>
      </c>
      <c r="CL13" t="e">
        <f>AND('Female Individual Rope Singles'!F66,"AAAAAHo+vFk=")</f>
        <v>#VALUE!</v>
      </c>
      <c r="CM13" t="e">
        <f>AND('Female Individual Rope Singles'!G66,"AAAAAHo+vFo=")</f>
        <v>#VALUE!</v>
      </c>
      <c r="CN13" t="b">
        <f>AND('Female Individual Rope Singles'!H66,"AAAAAHo+vFs=")</f>
        <v>1</v>
      </c>
      <c r="CO13" t="e">
        <f>AND('Female Individual Rope Singles'!I66,"AAAAAHo+vFw=")</f>
        <v>#VALUE!</v>
      </c>
      <c r="CP13" t="e">
        <f>AND('Female Individual Rope Singles'!J66,"AAAAAHo+vF0=")</f>
        <v>#VALUE!</v>
      </c>
      <c r="CQ13" t="e">
        <f>AND('Female Individual Rope Singles'!K66,"AAAAAHo+vF4=")</f>
        <v>#VALUE!</v>
      </c>
      <c r="CR13" t="e">
        <f>AND('Female Individual Rope Singles'!L66,"AAAAAHo+vF8=")</f>
        <v>#VALUE!</v>
      </c>
      <c r="CS13" t="e">
        <f>AND('Female Individual Rope Singles'!M66,"AAAAAHo+vGA=")</f>
        <v>#VALUE!</v>
      </c>
      <c r="CT13">
        <f>IF('Female Individual Rope Singles'!67:67,"AAAAAHo+vGE=",0)</f>
        <v>0</v>
      </c>
      <c r="CU13" t="b">
        <f>AND('Female Individual Rope Singles'!A67,"AAAAAHo+vGI=")</f>
        <v>1</v>
      </c>
      <c r="CV13" t="e">
        <f>AND('Female Individual Rope Singles'!B67,"AAAAAHo+vGM=")</f>
        <v>#VALUE!</v>
      </c>
      <c r="CW13" t="b">
        <f>AND('Female Individual Rope Singles'!C67,"AAAAAHo+vGQ=")</f>
        <v>1</v>
      </c>
      <c r="CX13" t="e">
        <f>AND('Female Individual Rope Singles'!D67,"AAAAAHo+vGU=")</f>
        <v>#VALUE!</v>
      </c>
      <c r="CY13" t="e">
        <f>AND('Female Individual Rope Singles'!E67,"AAAAAHo+vGY=")</f>
        <v>#VALUE!</v>
      </c>
      <c r="CZ13" t="e">
        <f>AND('Female Individual Rope Singles'!F67,"AAAAAHo+vGc=")</f>
        <v>#VALUE!</v>
      </c>
      <c r="DA13" t="e">
        <f>AND('Female Individual Rope Singles'!G67,"AAAAAHo+vGg=")</f>
        <v>#VALUE!</v>
      </c>
      <c r="DB13" t="b">
        <f>AND('Female Individual Rope Singles'!H67,"AAAAAHo+vGk=")</f>
        <v>1</v>
      </c>
      <c r="DC13" t="e">
        <f>AND('Female Individual Rope Singles'!I67,"AAAAAHo+vGo=")</f>
        <v>#VALUE!</v>
      </c>
      <c r="DD13" t="e">
        <f>AND('Female Individual Rope Singles'!J67,"AAAAAHo+vGs=")</f>
        <v>#VALUE!</v>
      </c>
      <c r="DE13" t="e">
        <f>AND('Female Individual Rope Singles'!K67,"AAAAAHo+vGw=")</f>
        <v>#VALUE!</v>
      </c>
      <c r="DF13" t="e">
        <f>AND('Female Individual Rope Singles'!L67,"AAAAAHo+vG0=")</f>
        <v>#VALUE!</v>
      </c>
      <c r="DG13" t="e">
        <f>AND('Female Individual Rope Singles'!M67,"AAAAAHo+vG4=")</f>
        <v>#VALUE!</v>
      </c>
      <c r="DH13">
        <f>IF('Female Individual Rope Singles'!68:68,"AAAAAHo+vG8=",0)</f>
        <v>0</v>
      </c>
      <c r="DI13" t="b">
        <f>AND('Female Individual Rope Singles'!A68,"AAAAAHo+vHA=")</f>
        <v>1</v>
      </c>
      <c r="DJ13" t="e">
        <f>AND('Female Individual Rope Singles'!B68,"AAAAAHo+vHE=")</f>
        <v>#VALUE!</v>
      </c>
      <c r="DK13" t="b">
        <f>AND('Female Individual Rope Singles'!C68,"AAAAAHo+vHI=")</f>
        <v>1</v>
      </c>
      <c r="DL13" t="e">
        <f>AND('Female Individual Rope Singles'!D68,"AAAAAHo+vHM=")</f>
        <v>#VALUE!</v>
      </c>
      <c r="DM13" t="e">
        <f>AND('Female Individual Rope Singles'!E68,"AAAAAHo+vHQ=")</f>
        <v>#VALUE!</v>
      </c>
      <c r="DN13" t="e">
        <f>AND('Female Individual Rope Singles'!F68,"AAAAAHo+vHU=")</f>
        <v>#VALUE!</v>
      </c>
      <c r="DO13" t="e">
        <f>AND('Female Individual Rope Singles'!G68,"AAAAAHo+vHY=")</f>
        <v>#VALUE!</v>
      </c>
      <c r="DP13" t="b">
        <f>AND('Female Individual Rope Singles'!H68,"AAAAAHo+vHc=")</f>
        <v>1</v>
      </c>
      <c r="DQ13" t="e">
        <f>AND('Female Individual Rope Singles'!I68,"AAAAAHo+vHg=")</f>
        <v>#VALUE!</v>
      </c>
      <c r="DR13" t="e">
        <f>AND('Female Individual Rope Singles'!J68,"AAAAAHo+vHk=")</f>
        <v>#VALUE!</v>
      </c>
      <c r="DS13" t="e">
        <f>AND('Female Individual Rope Singles'!K68,"AAAAAHo+vHo=")</f>
        <v>#VALUE!</v>
      </c>
      <c r="DT13" t="e">
        <f>AND('Female Individual Rope Singles'!L68,"AAAAAHo+vHs=")</f>
        <v>#VALUE!</v>
      </c>
      <c r="DU13" t="e">
        <f>AND('Female Individual Rope Singles'!M68,"AAAAAHo+vHw=")</f>
        <v>#VALUE!</v>
      </c>
      <c r="DV13">
        <f>IF('Female Individual Rope Singles'!69:69,"AAAAAHo+vH0=",0)</f>
        <v>0</v>
      </c>
      <c r="DW13" t="b">
        <f>AND('Female Individual Rope Singles'!A69,"AAAAAHo+vH4=")</f>
        <v>1</v>
      </c>
      <c r="DX13" t="e">
        <f>AND('Female Individual Rope Singles'!B69,"AAAAAHo+vH8=")</f>
        <v>#VALUE!</v>
      </c>
      <c r="DY13" t="b">
        <f>AND('Female Individual Rope Singles'!C69,"AAAAAHo+vIA=")</f>
        <v>1</v>
      </c>
      <c r="DZ13" t="e">
        <f>AND('Female Individual Rope Singles'!D69,"AAAAAHo+vIE=")</f>
        <v>#VALUE!</v>
      </c>
      <c r="EA13" t="e">
        <f>AND('Female Individual Rope Singles'!E69,"AAAAAHo+vII=")</f>
        <v>#VALUE!</v>
      </c>
      <c r="EB13" t="e">
        <f>AND('Female Individual Rope Singles'!F69,"AAAAAHo+vIM=")</f>
        <v>#VALUE!</v>
      </c>
      <c r="EC13" t="e">
        <f>AND('Female Individual Rope Singles'!G69,"AAAAAHo+vIQ=")</f>
        <v>#VALUE!</v>
      </c>
      <c r="ED13" t="b">
        <f>AND('Female Individual Rope Singles'!H69,"AAAAAHo+vIU=")</f>
        <v>1</v>
      </c>
      <c r="EE13" t="e">
        <f>AND('Female Individual Rope Singles'!I69,"AAAAAHo+vIY=")</f>
        <v>#VALUE!</v>
      </c>
      <c r="EF13" t="e">
        <f>AND('Female Individual Rope Singles'!J69,"AAAAAHo+vIc=")</f>
        <v>#VALUE!</v>
      </c>
      <c r="EG13" t="e">
        <f>AND('Female Individual Rope Singles'!K69,"AAAAAHo+vIg=")</f>
        <v>#VALUE!</v>
      </c>
      <c r="EH13" t="e">
        <f>AND('Female Individual Rope Singles'!L69,"AAAAAHo+vIk=")</f>
        <v>#VALUE!</v>
      </c>
      <c r="EI13" t="e">
        <f>AND('Female Individual Rope Singles'!M69,"AAAAAHo+vIo=")</f>
        <v>#VALUE!</v>
      </c>
      <c r="EJ13">
        <f>IF('Female Individual Rope Singles'!70:70,"AAAAAHo+vIs=",0)</f>
        <v>0</v>
      </c>
      <c r="EK13" t="b">
        <f>AND('Female Individual Rope Singles'!A70,"AAAAAHo+vIw=")</f>
        <v>1</v>
      </c>
      <c r="EL13" t="e">
        <f>AND('Female Individual Rope Singles'!B70,"AAAAAHo+vI0=")</f>
        <v>#VALUE!</v>
      </c>
      <c r="EM13" t="b">
        <f>AND('Female Individual Rope Singles'!C70,"AAAAAHo+vI4=")</f>
        <v>1</v>
      </c>
      <c r="EN13" t="e">
        <f>AND('Female Individual Rope Singles'!D70,"AAAAAHo+vI8=")</f>
        <v>#VALUE!</v>
      </c>
      <c r="EO13" t="e">
        <f>AND('Female Individual Rope Singles'!E70,"AAAAAHo+vJA=")</f>
        <v>#VALUE!</v>
      </c>
      <c r="EP13" t="e">
        <f>AND('Female Individual Rope Singles'!F70,"AAAAAHo+vJE=")</f>
        <v>#VALUE!</v>
      </c>
      <c r="EQ13" t="e">
        <f>AND('Female Individual Rope Singles'!G70,"AAAAAHo+vJI=")</f>
        <v>#VALUE!</v>
      </c>
      <c r="ER13" t="b">
        <f>AND('Female Individual Rope Singles'!H70,"AAAAAHo+vJM=")</f>
        <v>1</v>
      </c>
      <c r="ES13" t="e">
        <f>AND('Female Individual Rope Singles'!I70,"AAAAAHo+vJQ=")</f>
        <v>#VALUE!</v>
      </c>
      <c r="ET13" t="e">
        <f>AND('Female Individual Rope Singles'!J70,"AAAAAHo+vJU=")</f>
        <v>#VALUE!</v>
      </c>
      <c r="EU13" t="e">
        <f>AND('Female Individual Rope Singles'!K70,"AAAAAHo+vJY=")</f>
        <v>#VALUE!</v>
      </c>
      <c r="EV13" t="e">
        <f>AND('Female Individual Rope Singles'!L70,"AAAAAHo+vJc=")</f>
        <v>#VALUE!</v>
      </c>
      <c r="EW13" t="e">
        <f>AND('Female Individual Rope Singles'!M70,"AAAAAHo+vJg=")</f>
        <v>#VALUE!</v>
      </c>
      <c r="EX13">
        <f>IF('Female Individual Rope Singles'!71:71,"AAAAAHo+vJk=",0)</f>
        <v>0</v>
      </c>
      <c r="EY13" t="b">
        <f>AND('Female Individual Rope Singles'!A71,"AAAAAHo+vJo=")</f>
        <v>1</v>
      </c>
      <c r="EZ13" t="e">
        <f>AND('Female Individual Rope Singles'!B71,"AAAAAHo+vJs=")</f>
        <v>#VALUE!</v>
      </c>
      <c r="FA13" t="b">
        <f>AND('Female Individual Rope Singles'!C71,"AAAAAHo+vJw=")</f>
        <v>1</v>
      </c>
      <c r="FB13" t="e">
        <f>AND('Female Individual Rope Singles'!D71,"AAAAAHo+vJ0=")</f>
        <v>#VALUE!</v>
      </c>
      <c r="FC13" t="e">
        <f>AND('Female Individual Rope Singles'!E71,"AAAAAHo+vJ4=")</f>
        <v>#VALUE!</v>
      </c>
      <c r="FD13" t="e">
        <f>AND('Female Individual Rope Singles'!F71,"AAAAAHo+vJ8=")</f>
        <v>#VALUE!</v>
      </c>
      <c r="FE13" t="e">
        <f>AND('Female Individual Rope Singles'!G71,"AAAAAHo+vKA=")</f>
        <v>#VALUE!</v>
      </c>
      <c r="FF13" t="b">
        <f>AND('Female Individual Rope Singles'!H71,"AAAAAHo+vKE=")</f>
        <v>1</v>
      </c>
      <c r="FG13" t="e">
        <f>AND('Female Individual Rope Singles'!I71,"AAAAAHo+vKI=")</f>
        <v>#VALUE!</v>
      </c>
      <c r="FH13" t="e">
        <f>AND('Female Individual Rope Singles'!J71,"AAAAAHo+vKM=")</f>
        <v>#VALUE!</v>
      </c>
      <c r="FI13" t="e">
        <f>AND('Female Individual Rope Singles'!K71,"AAAAAHo+vKQ=")</f>
        <v>#VALUE!</v>
      </c>
      <c r="FJ13" t="e">
        <f>AND('Female Individual Rope Singles'!L71,"AAAAAHo+vKU=")</f>
        <v>#VALUE!</v>
      </c>
      <c r="FK13" t="e">
        <f>AND('Female Individual Rope Singles'!M71,"AAAAAHo+vKY=")</f>
        <v>#VALUE!</v>
      </c>
      <c r="FL13">
        <f>IF('Female Individual Rope Singles'!72:72,"AAAAAHo+vKc=",0)</f>
        <v>0</v>
      </c>
      <c r="FM13" t="b">
        <f>AND('Female Individual Rope Singles'!A72,"AAAAAHo+vKg=")</f>
        <v>1</v>
      </c>
      <c r="FN13" t="e">
        <f>AND('Female Individual Rope Singles'!B72,"AAAAAHo+vKk=")</f>
        <v>#VALUE!</v>
      </c>
      <c r="FO13" t="b">
        <f>AND('Female Individual Rope Singles'!C72,"AAAAAHo+vKo=")</f>
        <v>1</v>
      </c>
      <c r="FP13" t="e">
        <f>AND('Female Individual Rope Singles'!D72,"AAAAAHo+vKs=")</f>
        <v>#VALUE!</v>
      </c>
      <c r="FQ13" t="e">
        <f>AND('Female Individual Rope Singles'!E72,"AAAAAHo+vKw=")</f>
        <v>#VALUE!</v>
      </c>
      <c r="FR13" t="e">
        <f>AND('Female Individual Rope Singles'!F72,"AAAAAHo+vK0=")</f>
        <v>#VALUE!</v>
      </c>
      <c r="FS13" t="e">
        <f>AND('Female Individual Rope Singles'!G72,"AAAAAHo+vK4=")</f>
        <v>#VALUE!</v>
      </c>
      <c r="FT13" t="b">
        <f>AND('Female Individual Rope Singles'!H72,"AAAAAHo+vK8=")</f>
        <v>1</v>
      </c>
      <c r="FU13" t="e">
        <f>AND('Female Individual Rope Singles'!I72,"AAAAAHo+vLA=")</f>
        <v>#VALUE!</v>
      </c>
      <c r="FV13" t="e">
        <f>AND('Female Individual Rope Singles'!J72,"AAAAAHo+vLE=")</f>
        <v>#VALUE!</v>
      </c>
      <c r="FW13" t="e">
        <f>AND('Female Individual Rope Singles'!K72,"AAAAAHo+vLI=")</f>
        <v>#VALUE!</v>
      </c>
      <c r="FX13" t="e">
        <f>AND('Female Individual Rope Singles'!L72,"AAAAAHo+vLM=")</f>
        <v>#VALUE!</v>
      </c>
      <c r="FY13" t="e">
        <f>AND('Female Individual Rope Singles'!M72,"AAAAAHo+vLQ=")</f>
        <v>#VALUE!</v>
      </c>
      <c r="FZ13">
        <f>IF('Female Individual Rope Singles'!73:73,"AAAAAHo+vLU=",0)</f>
        <v>0</v>
      </c>
      <c r="GA13" t="b">
        <f>AND('Female Individual Rope Singles'!A73,"AAAAAHo+vLY=")</f>
        <v>1</v>
      </c>
      <c r="GB13" t="e">
        <f>AND('Female Individual Rope Singles'!B73,"AAAAAHo+vLc=")</f>
        <v>#VALUE!</v>
      </c>
      <c r="GC13" t="b">
        <f>AND('Female Individual Rope Singles'!C73,"AAAAAHo+vLg=")</f>
        <v>1</v>
      </c>
      <c r="GD13" t="e">
        <f>AND('Female Individual Rope Singles'!D73,"AAAAAHo+vLk=")</f>
        <v>#VALUE!</v>
      </c>
      <c r="GE13" t="e">
        <f>AND('Female Individual Rope Singles'!E73,"AAAAAHo+vLo=")</f>
        <v>#VALUE!</v>
      </c>
      <c r="GF13" t="e">
        <f>AND('Female Individual Rope Singles'!F73,"AAAAAHo+vLs=")</f>
        <v>#VALUE!</v>
      </c>
      <c r="GG13" t="e">
        <f>AND('Female Individual Rope Singles'!G73,"AAAAAHo+vLw=")</f>
        <v>#VALUE!</v>
      </c>
      <c r="GH13" t="b">
        <f>AND('Female Individual Rope Singles'!H73,"AAAAAHo+vL0=")</f>
        <v>1</v>
      </c>
      <c r="GI13" t="e">
        <f>AND('Female Individual Rope Singles'!I73,"AAAAAHo+vL4=")</f>
        <v>#VALUE!</v>
      </c>
      <c r="GJ13" t="e">
        <f>AND('Female Individual Rope Singles'!J73,"AAAAAHo+vL8=")</f>
        <v>#VALUE!</v>
      </c>
      <c r="GK13" t="e">
        <f>AND('Female Individual Rope Singles'!K73,"AAAAAHo+vMA=")</f>
        <v>#VALUE!</v>
      </c>
      <c r="GL13" t="e">
        <f>AND('Female Individual Rope Singles'!L73,"AAAAAHo+vME=")</f>
        <v>#VALUE!</v>
      </c>
      <c r="GM13" t="e">
        <f>AND('Female Individual Rope Singles'!M73,"AAAAAHo+vMI=")</f>
        <v>#VALUE!</v>
      </c>
      <c r="GN13">
        <f>IF('Female Individual Rope Singles'!74:74,"AAAAAHo+vMM=",0)</f>
        <v>0</v>
      </c>
      <c r="GO13" t="b">
        <f>AND('Female Individual Rope Singles'!A74,"AAAAAHo+vMQ=")</f>
        <v>1</v>
      </c>
      <c r="GP13" t="e">
        <f>AND('Female Individual Rope Singles'!B74,"AAAAAHo+vMU=")</f>
        <v>#VALUE!</v>
      </c>
      <c r="GQ13" t="b">
        <f>AND('Female Individual Rope Singles'!C74,"AAAAAHo+vMY=")</f>
        <v>1</v>
      </c>
      <c r="GR13" t="e">
        <f>AND('Female Individual Rope Singles'!D74,"AAAAAHo+vMc=")</f>
        <v>#VALUE!</v>
      </c>
      <c r="GS13" t="e">
        <f>AND('Female Individual Rope Singles'!E74,"AAAAAHo+vMg=")</f>
        <v>#VALUE!</v>
      </c>
      <c r="GT13" t="e">
        <f>AND('Female Individual Rope Singles'!F74,"AAAAAHo+vMk=")</f>
        <v>#VALUE!</v>
      </c>
      <c r="GU13" t="e">
        <f>AND('Female Individual Rope Singles'!G74,"AAAAAHo+vMo=")</f>
        <v>#VALUE!</v>
      </c>
      <c r="GV13" t="b">
        <f>AND('Female Individual Rope Singles'!H74,"AAAAAHo+vMs=")</f>
        <v>1</v>
      </c>
      <c r="GW13" t="e">
        <f>AND('Female Individual Rope Singles'!I74,"AAAAAHo+vMw=")</f>
        <v>#VALUE!</v>
      </c>
      <c r="GX13" t="e">
        <f>AND('Female Individual Rope Singles'!J74,"AAAAAHo+vM0=")</f>
        <v>#VALUE!</v>
      </c>
      <c r="GY13" t="e">
        <f>AND('Female Individual Rope Singles'!K74,"AAAAAHo+vM4=")</f>
        <v>#VALUE!</v>
      </c>
      <c r="GZ13" t="e">
        <f>AND('Female Individual Rope Singles'!L74,"AAAAAHo+vM8=")</f>
        <v>#VALUE!</v>
      </c>
      <c r="HA13" t="e">
        <f>AND('Female Individual Rope Singles'!M74,"AAAAAHo+vNA=")</f>
        <v>#VALUE!</v>
      </c>
      <c r="HB13">
        <f>IF('Female Individual Rope Singles'!75:75,"AAAAAHo+vNE=",0)</f>
        <v>0</v>
      </c>
      <c r="HC13" t="b">
        <f>AND('Female Individual Rope Singles'!A75,"AAAAAHo+vNI=")</f>
        <v>1</v>
      </c>
      <c r="HD13" t="e">
        <f>AND('Female Individual Rope Singles'!B75,"AAAAAHo+vNM=")</f>
        <v>#VALUE!</v>
      </c>
      <c r="HE13" t="b">
        <f>AND('Female Individual Rope Singles'!C75,"AAAAAHo+vNQ=")</f>
        <v>1</v>
      </c>
      <c r="HF13" t="e">
        <f>AND('Female Individual Rope Singles'!D75,"AAAAAHo+vNU=")</f>
        <v>#VALUE!</v>
      </c>
      <c r="HG13" t="e">
        <f>AND('Female Individual Rope Singles'!E75,"AAAAAHo+vNY=")</f>
        <v>#VALUE!</v>
      </c>
      <c r="HH13" t="e">
        <f>AND('Female Individual Rope Singles'!F75,"AAAAAHo+vNc=")</f>
        <v>#VALUE!</v>
      </c>
      <c r="HI13" t="e">
        <f>AND('Female Individual Rope Singles'!G75,"AAAAAHo+vNg=")</f>
        <v>#VALUE!</v>
      </c>
      <c r="HJ13" t="b">
        <f>AND('Female Individual Rope Singles'!H75,"AAAAAHo+vNk=")</f>
        <v>1</v>
      </c>
      <c r="HK13" t="e">
        <f>AND('Female Individual Rope Singles'!I75,"AAAAAHo+vNo=")</f>
        <v>#VALUE!</v>
      </c>
      <c r="HL13" t="e">
        <f>AND('Female Individual Rope Singles'!J75,"AAAAAHo+vNs=")</f>
        <v>#VALUE!</v>
      </c>
      <c r="HM13" t="e">
        <f>AND('Female Individual Rope Singles'!K75,"AAAAAHo+vNw=")</f>
        <v>#VALUE!</v>
      </c>
      <c r="HN13" t="e">
        <f>AND('Female Individual Rope Singles'!L75,"AAAAAHo+vN0=")</f>
        <v>#VALUE!</v>
      </c>
      <c r="HO13" t="e">
        <f>AND('Female Individual Rope Singles'!M75,"AAAAAHo+vN4=")</f>
        <v>#VALUE!</v>
      </c>
      <c r="HP13">
        <f>IF('Female Individual Rope Singles'!76:76,"AAAAAHo+vN8=",0)</f>
        <v>0</v>
      </c>
      <c r="HQ13" t="b">
        <f>AND('Female Individual Rope Singles'!A76,"AAAAAHo+vOA=")</f>
        <v>1</v>
      </c>
      <c r="HR13" t="e">
        <f>AND('Female Individual Rope Singles'!B76,"AAAAAHo+vOE=")</f>
        <v>#VALUE!</v>
      </c>
      <c r="HS13" t="b">
        <f>AND('Female Individual Rope Singles'!C76,"AAAAAHo+vOI=")</f>
        <v>1</v>
      </c>
      <c r="HT13" t="e">
        <f>AND('Female Individual Rope Singles'!D76,"AAAAAHo+vOM=")</f>
        <v>#VALUE!</v>
      </c>
      <c r="HU13" t="e">
        <f>AND('Female Individual Rope Singles'!E76,"AAAAAHo+vOQ=")</f>
        <v>#VALUE!</v>
      </c>
      <c r="HV13" t="e">
        <f>AND('Female Individual Rope Singles'!F76,"AAAAAHo+vOU=")</f>
        <v>#VALUE!</v>
      </c>
      <c r="HW13" t="e">
        <f>AND('Female Individual Rope Singles'!G76,"AAAAAHo+vOY=")</f>
        <v>#VALUE!</v>
      </c>
      <c r="HX13" t="b">
        <f>AND('Female Individual Rope Singles'!H76,"AAAAAHo+vOc=")</f>
        <v>1</v>
      </c>
      <c r="HY13" t="e">
        <f>AND('Female Individual Rope Singles'!I76,"AAAAAHo+vOg=")</f>
        <v>#VALUE!</v>
      </c>
      <c r="HZ13" t="e">
        <f>AND('Female Individual Rope Singles'!J76,"AAAAAHo+vOk=")</f>
        <v>#VALUE!</v>
      </c>
      <c r="IA13" t="e">
        <f>AND('Female Individual Rope Singles'!K76,"AAAAAHo+vOo=")</f>
        <v>#VALUE!</v>
      </c>
      <c r="IB13" t="e">
        <f>AND('Female Individual Rope Singles'!L76,"AAAAAHo+vOs=")</f>
        <v>#VALUE!</v>
      </c>
      <c r="IC13" t="e">
        <f>AND('Female Individual Rope Singles'!M76,"AAAAAHo+vOw=")</f>
        <v>#VALUE!</v>
      </c>
      <c r="ID13">
        <f>IF('Female Individual Rope Singles'!77:77,"AAAAAHo+vO0=",0)</f>
        <v>0</v>
      </c>
      <c r="IE13" t="b">
        <f>AND('Female Individual Rope Singles'!A77,"AAAAAHo+vO4=")</f>
        <v>1</v>
      </c>
      <c r="IF13" t="e">
        <f>AND('Female Individual Rope Singles'!B77,"AAAAAHo+vO8=")</f>
        <v>#VALUE!</v>
      </c>
      <c r="IG13" t="b">
        <f>AND('Female Individual Rope Singles'!C77,"AAAAAHo+vPA=")</f>
        <v>1</v>
      </c>
      <c r="IH13" t="e">
        <f>AND('Female Individual Rope Singles'!D77,"AAAAAHo+vPE=")</f>
        <v>#VALUE!</v>
      </c>
      <c r="II13" t="e">
        <f>AND('Female Individual Rope Singles'!E77,"AAAAAHo+vPI=")</f>
        <v>#VALUE!</v>
      </c>
      <c r="IJ13" t="e">
        <f>AND('Female Individual Rope Singles'!F77,"AAAAAHo+vPM=")</f>
        <v>#VALUE!</v>
      </c>
      <c r="IK13" t="e">
        <f>AND('Female Individual Rope Singles'!G77,"AAAAAHo+vPQ=")</f>
        <v>#VALUE!</v>
      </c>
      <c r="IL13" t="b">
        <f>AND('Female Individual Rope Singles'!H77,"AAAAAHo+vPU=")</f>
        <v>1</v>
      </c>
      <c r="IM13" t="e">
        <f>AND('Female Individual Rope Singles'!I77,"AAAAAHo+vPY=")</f>
        <v>#VALUE!</v>
      </c>
      <c r="IN13" t="e">
        <f>AND('Female Individual Rope Singles'!J77,"AAAAAHo+vPc=")</f>
        <v>#VALUE!</v>
      </c>
      <c r="IO13" t="e">
        <f>AND('Female Individual Rope Singles'!K77,"AAAAAHo+vPg=")</f>
        <v>#VALUE!</v>
      </c>
      <c r="IP13" t="e">
        <f>AND('Female Individual Rope Singles'!L77,"AAAAAHo+vPk=")</f>
        <v>#VALUE!</v>
      </c>
      <c r="IQ13" t="e">
        <f>AND('Female Individual Rope Singles'!M77,"AAAAAHo+vPo=")</f>
        <v>#VALUE!</v>
      </c>
      <c r="IR13">
        <f>IF('Female Individual Rope Singles'!78:78,"AAAAAHo+vPs=",0)</f>
        <v>0</v>
      </c>
      <c r="IS13" t="b">
        <f>AND('Female Individual Rope Singles'!A78,"AAAAAHo+vPw=")</f>
        <v>1</v>
      </c>
      <c r="IT13" t="e">
        <f>AND('Female Individual Rope Singles'!B78,"AAAAAHo+vP0=")</f>
        <v>#VALUE!</v>
      </c>
      <c r="IU13" t="b">
        <f>AND('Female Individual Rope Singles'!C78,"AAAAAHo+vP4=")</f>
        <v>1</v>
      </c>
      <c r="IV13" t="e">
        <f>AND('Female Individual Rope Singles'!D78,"AAAAAHo+vP8=")</f>
        <v>#VALUE!</v>
      </c>
    </row>
    <row r="14" spans="1:256" x14ac:dyDescent="0.25">
      <c r="A14" t="e">
        <f>AND('Female Individual Rope Singles'!E78,"AAAAAG/l9wA=")</f>
        <v>#VALUE!</v>
      </c>
      <c r="B14" t="e">
        <f>AND('Female Individual Rope Singles'!F78,"AAAAAG/l9wE=")</f>
        <v>#VALUE!</v>
      </c>
      <c r="C14" t="e">
        <f>AND('Female Individual Rope Singles'!G78,"AAAAAG/l9wI=")</f>
        <v>#VALUE!</v>
      </c>
      <c r="D14" t="b">
        <f>AND('Female Individual Rope Singles'!H78,"AAAAAG/l9wM=")</f>
        <v>1</v>
      </c>
      <c r="E14" t="e">
        <f>AND('Female Individual Rope Singles'!I78,"AAAAAG/l9wQ=")</f>
        <v>#VALUE!</v>
      </c>
      <c r="F14" t="e">
        <f>AND('Female Individual Rope Singles'!J78,"AAAAAG/l9wU=")</f>
        <v>#VALUE!</v>
      </c>
      <c r="G14" t="e">
        <f>AND('Female Individual Rope Singles'!K78,"AAAAAG/l9wY=")</f>
        <v>#VALUE!</v>
      </c>
      <c r="H14" t="e">
        <f>AND('Female Individual Rope Singles'!L78,"AAAAAG/l9wc=")</f>
        <v>#VALUE!</v>
      </c>
      <c r="I14" t="e">
        <f>AND('Female Individual Rope Singles'!M78,"AAAAAG/l9wg=")</f>
        <v>#VALUE!</v>
      </c>
      <c r="J14" t="e">
        <f>IF('Female Individual Rope Singles'!79:79,"AAAAAG/l9wk=",0)</f>
        <v>#VALUE!</v>
      </c>
      <c r="K14" t="b">
        <f>AND('Female Individual Rope Singles'!A79,"AAAAAG/l9wo=")</f>
        <v>1</v>
      </c>
      <c r="L14" t="e">
        <f>AND('Female Individual Rope Singles'!B79,"AAAAAG/l9ws=")</f>
        <v>#VALUE!</v>
      </c>
      <c r="M14" t="b">
        <f>AND('Female Individual Rope Singles'!C79,"AAAAAG/l9ww=")</f>
        <v>1</v>
      </c>
      <c r="N14" t="e">
        <f>AND('Female Individual Rope Singles'!D79,"AAAAAG/l9w0=")</f>
        <v>#VALUE!</v>
      </c>
      <c r="O14" t="e">
        <f>AND('Female Individual Rope Singles'!E79,"AAAAAG/l9w4=")</f>
        <v>#VALUE!</v>
      </c>
      <c r="P14" t="e">
        <f>AND('Female Individual Rope Singles'!F79,"AAAAAG/l9w8=")</f>
        <v>#VALUE!</v>
      </c>
      <c r="Q14" t="e">
        <f>AND('Female Individual Rope Singles'!G79,"AAAAAG/l9xA=")</f>
        <v>#VALUE!</v>
      </c>
      <c r="R14" t="b">
        <f>AND('Female Individual Rope Singles'!H79,"AAAAAG/l9xE=")</f>
        <v>1</v>
      </c>
      <c r="S14" t="e">
        <f>AND('Female Individual Rope Singles'!I79,"AAAAAG/l9xI=")</f>
        <v>#VALUE!</v>
      </c>
      <c r="T14" t="e">
        <f>AND('Female Individual Rope Singles'!J79,"AAAAAG/l9xM=")</f>
        <v>#VALUE!</v>
      </c>
      <c r="U14" t="e">
        <f>AND('Female Individual Rope Singles'!K79,"AAAAAG/l9xQ=")</f>
        <v>#VALUE!</v>
      </c>
      <c r="V14" t="e">
        <f>AND('Female Individual Rope Singles'!L79,"AAAAAG/l9xU=")</f>
        <v>#VALUE!</v>
      </c>
      <c r="W14" t="e">
        <f>AND('Female Individual Rope Singles'!M79,"AAAAAG/l9xY=")</f>
        <v>#VALUE!</v>
      </c>
      <c r="X14">
        <f>IF('Female Individual Rope Singles'!80:80,"AAAAAG/l9xc=",0)</f>
        <v>0</v>
      </c>
      <c r="Y14" t="b">
        <f>AND('Female Individual Rope Singles'!A80,"AAAAAG/l9xg=")</f>
        <v>1</v>
      </c>
      <c r="Z14" t="e">
        <f>AND('Female Individual Rope Singles'!B80,"AAAAAG/l9xk=")</f>
        <v>#VALUE!</v>
      </c>
      <c r="AA14" t="b">
        <f>AND('Female Individual Rope Singles'!C80,"AAAAAG/l9xo=")</f>
        <v>1</v>
      </c>
      <c r="AB14" t="e">
        <f>AND('Female Individual Rope Singles'!D80,"AAAAAG/l9xs=")</f>
        <v>#VALUE!</v>
      </c>
      <c r="AC14" t="e">
        <f>AND('Female Individual Rope Singles'!E80,"AAAAAG/l9xw=")</f>
        <v>#VALUE!</v>
      </c>
      <c r="AD14" t="e">
        <f>AND('Female Individual Rope Singles'!F80,"AAAAAG/l9x0=")</f>
        <v>#VALUE!</v>
      </c>
      <c r="AE14" t="e">
        <f>AND('Female Individual Rope Singles'!G80,"AAAAAG/l9x4=")</f>
        <v>#VALUE!</v>
      </c>
      <c r="AF14" t="b">
        <f>AND('Female Individual Rope Singles'!H80,"AAAAAG/l9x8=")</f>
        <v>1</v>
      </c>
      <c r="AG14" t="e">
        <f>AND('Female Individual Rope Singles'!I80,"AAAAAG/l9yA=")</f>
        <v>#VALUE!</v>
      </c>
      <c r="AH14" t="e">
        <f>AND('Female Individual Rope Singles'!J80,"AAAAAG/l9yE=")</f>
        <v>#VALUE!</v>
      </c>
      <c r="AI14" t="e">
        <f>AND('Female Individual Rope Singles'!K80,"AAAAAG/l9yI=")</f>
        <v>#VALUE!</v>
      </c>
      <c r="AJ14" t="e">
        <f>AND('Female Individual Rope Singles'!L80,"AAAAAG/l9yM=")</f>
        <v>#VALUE!</v>
      </c>
      <c r="AK14" t="e">
        <f>AND('Female Individual Rope Singles'!M80,"AAAAAG/l9yQ=")</f>
        <v>#VALUE!</v>
      </c>
      <c r="AL14">
        <f>IF('Female Individual Rope Singles'!81:81,"AAAAAG/l9yU=",0)</f>
        <v>0</v>
      </c>
      <c r="AM14" t="e">
        <f>AND('Female Individual Rope Singles'!#REF!,"AAAAAG/l9yY=")</f>
        <v>#REF!</v>
      </c>
      <c r="AN14" t="e">
        <f>AND('Female Individual Rope Singles'!#REF!,"AAAAAG/l9yc=")</f>
        <v>#REF!</v>
      </c>
      <c r="AO14" t="e">
        <f>AND('Female Individual Rope Singles'!#REF!,"AAAAAG/l9yg=")</f>
        <v>#REF!</v>
      </c>
      <c r="AP14" t="e">
        <f>AND('Female Individual Rope Singles'!#REF!,"AAAAAG/l9yk=")</f>
        <v>#REF!</v>
      </c>
      <c r="AQ14" t="e">
        <f>AND('Female Individual Rope Singles'!#REF!,"AAAAAG/l9yo=")</f>
        <v>#REF!</v>
      </c>
      <c r="AR14" t="e">
        <f>AND('Female Individual Rope Singles'!#REF!,"AAAAAG/l9ys=")</f>
        <v>#REF!</v>
      </c>
      <c r="AS14" t="e">
        <f>AND('Female Individual Rope Singles'!#REF!,"AAAAAG/l9yw=")</f>
        <v>#REF!</v>
      </c>
      <c r="AT14" t="e">
        <f>AND('Female Individual Rope Singles'!#REF!,"AAAAAG/l9y0=")</f>
        <v>#REF!</v>
      </c>
      <c r="AU14" t="e">
        <f>AND('Female Individual Rope Singles'!#REF!,"AAAAAG/l9y4=")</f>
        <v>#REF!</v>
      </c>
      <c r="AV14" t="e">
        <f>AND('Female Individual Rope Singles'!#REF!,"AAAAAG/l9y8=")</f>
        <v>#REF!</v>
      </c>
      <c r="AW14" t="e">
        <f>AND('Female Individual Rope Singles'!#REF!,"AAAAAG/l9zA=")</f>
        <v>#REF!</v>
      </c>
      <c r="AX14" t="e">
        <f>AND('Female Individual Rope Singles'!#REF!,"AAAAAG/l9zE=")</f>
        <v>#REF!</v>
      </c>
      <c r="AY14" t="e">
        <f>AND('Female Individual Rope Singles'!#REF!,"AAAAAG/l9zI=")</f>
        <v>#REF!</v>
      </c>
      <c r="AZ14">
        <f>IF('Female Individual Rope Singles'!82:82,"AAAAAG/l9zM=",0)</f>
        <v>0</v>
      </c>
      <c r="BA14" t="e">
        <f>AND('Female Individual Rope Singles'!#REF!,"AAAAAG/l9zQ=")</f>
        <v>#REF!</v>
      </c>
      <c r="BB14" t="e">
        <f>AND('Female Individual Rope Singles'!#REF!,"AAAAAG/l9zU=")</f>
        <v>#REF!</v>
      </c>
      <c r="BC14" t="e">
        <f>AND('Female Individual Rope Singles'!#REF!,"AAAAAG/l9zY=")</f>
        <v>#REF!</v>
      </c>
      <c r="BD14" t="e">
        <f>AND('Female Individual Rope Singles'!#REF!,"AAAAAG/l9zc=")</f>
        <v>#REF!</v>
      </c>
      <c r="BE14" t="e">
        <f>AND('Female Individual Rope Singles'!#REF!,"AAAAAG/l9zg=")</f>
        <v>#REF!</v>
      </c>
      <c r="BF14" t="e">
        <f>AND('Female Individual Rope Singles'!#REF!,"AAAAAG/l9zk=")</f>
        <v>#REF!</v>
      </c>
      <c r="BG14" t="e">
        <f>AND('Female Individual Rope Singles'!#REF!,"AAAAAG/l9zo=")</f>
        <v>#REF!</v>
      </c>
      <c r="BH14" t="e">
        <f>AND('Female Individual Rope Singles'!#REF!,"AAAAAG/l9zs=")</f>
        <v>#REF!</v>
      </c>
      <c r="BI14" t="e">
        <f>AND('Female Individual Rope Singles'!#REF!,"AAAAAG/l9zw=")</f>
        <v>#REF!</v>
      </c>
      <c r="BJ14" t="e">
        <f>AND('Female Individual Rope Singles'!#REF!,"AAAAAG/l9z0=")</f>
        <v>#REF!</v>
      </c>
      <c r="BK14" t="e">
        <f>AND('Female Individual Rope Singles'!#REF!,"AAAAAG/l9z4=")</f>
        <v>#REF!</v>
      </c>
      <c r="BL14" t="e">
        <f>AND('Female Individual Rope Singles'!#REF!,"AAAAAG/l9z8=")</f>
        <v>#REF!</v>
      </c>
      <c r="BM14" t="e">
        <f>AND('Female Individual Rope Singles'!#REF!,"AAAAAG/l90A=")</f>
        <v>#REF!</v>
      </c>
      <c r="BN14">
        <f>IF('Female Individual Rope Singles'!83:83,"AAAAAG/l90E=",0)</f>
        <v>0</v>
      </c>
      <c r="BO14" t="e">
        <f>AND('Female Individual Rope Singles'!#REF!,"AAAAAG/l90I=")</f>
        <v>#REF!</v>
      </c>
      <c r="BP14" t="e">
        <f>AND('Female Individual Rope Singles'!#REF!,"AAAAAG/l90M=")</f>
        <v>#REF!</v>
      </c>
      <c r="BQ14" t="e">
        <f>AND('Female Individual Rope Singles'!#REF!,"AAAAAG/l90Q=")</f>
        <v>#REF!</v>
      </c>
      <c r="BR14" t="e">
        <f>AND('Female Individual Rope Singles'!#REF!,"AAAAAG/l90U=")</f>
        <v>#REF!</v>
      </c>
      <c r="BS14" t="e">
        <f>AND('Female Individual Rope Singles'!#REF!,"AAAAAG/l90Y=")</f>
        <v>#REF!</v>
      </c>
      <c r="BT14" t="e">
        <f>AND('Female Individual Rope Singles'!#REF!,"AAAAAG/l90c=")</f>
        <v>#REF!</v>
      </c>
      <c r="BU14" t="e">
        <f>AND('Female Individual Rope Singles'!#REF!,"AAAAAG/l90g=")</f>
        <v>#REF!</v>
      </c>
      <c r="BV14" t="e">
        <f>AND('Female Individual Rope Singles'!#REF!,"AAAAAG/l90k=")</f>
        <v>#REF!</v>
      </c>
      <c r="BW14" t="e">
        <f>AND('Female Individual Rope Singles'!#REF!,"AAAAAG/l90o=")</f>
        <v>#REF!</v>
      </c>
      <c r="BX14" t="e">
        <f>AND('Female Individual Rope Singles'!#REF!,"AAAAAG/l90s=")</f>
        <v>#REF!</v>
      </c>
      <c r="BY14" t="e">
        <f>AND('Female Individual Rope Singles'!#REF!,"AAAAAG/l90w=")</f>
        <v>#REF!</v>
      </c>
      <c r="BZ14" t="e">
        <f>AND('Female Individual Rope Singles'!#REF!,"AAAAAG/l900=")</f>
        <v>#REF!</v>
      </c>
      <c r="CA14" t="e">
        <f>AND('Female Individual Rope Singles'!#REF!,"AAAAAG/l904=")</f>
        <v>#REF!</v>
      </c>
      <c r="CB14">
        <f>IF('Female Individual Rope Singles'!84:84,"AAAAAG/l908=",0)</f>
        <v>0</v>
      </c>
      <c r="CC14" t="e">
        <f>AND('Female Individual Rope Singles'!#REF!,"AAAAAG/l91A=")</f>
        <v>#REF!</v>
      </c>
      <c r="CD14" t="e">
        <f>AND('Female Individual Rope Singles'!#REF!,"AAAAAG/l91E=")</f>
        <v>#REF!</v>
      </c>
      <c r="CE14" t="e">
        <f>AND('Female Individual Rope Singles'!#REF!,"AAAAAG/l91I=")</f>
        <v>#REF!</v>
      </c>
      <c r="CF14" t="e">
        <f>AND('Female Individual Rope Singles'!#REF!,"AAAAAG/l91M=")</f>
        <v>#REF!</v>
      </c>
      <c r="CG14" t="e">
        <f>AND('Female Individual Rope Singles'!#REF!,"AAAAAG/l91Q=")</f>
        <v>#REF!</v>
      </c>
      <c r="CH14" t="e">
        <f>AND('Female Individual Rope Singles'!#REF!,"AAAAAG/l91U=")</f>
        <v>#REF!</v>
      </c>
      <c r="CI14" t="e">
        <f>AND('Female Individual Rope Singles'!#REF!,"AAAAAG/l91Y=")</f>
        <v>#REF!</v>
      </c>
      <c r="CJ14" t="e">
        <f>AND('Female Individual Rope Singles'!#REF!,"AAAAAG/l91c=")</f>
        <v>#REF!</v>
      </c>
      <c r="CK14" t="e">
        <f>AND('Female Individual Rope Singles'!#REF!,"AAAAAG/l91g=")</f>
        <v>#REF!</v>
      </c>
      <c r="CL14" t="e">
        <f>AND('Female Individual Rope Singles'!#REF!,"AAAAAG/l91k=")</f>
        <v>#REF!</v>
      </c>
      <c r="CM14" t="e">
        <f>AND('Female Individual Rope Singles'!#REF!,"AAAAAG/l91o=")</f>
        <v>#REF!</v>
      </c>
      <c r="CN14" t="e">
        <f>AND('Female Individual Rope Singles'!#REF!,"AAAAAG/l91s=")</f>
        <v>#REF!</v>
      </c>
      <c r="CO14" t="e">
        <f>AND('Female Individual Rope Singles'!#REF!,"AAAAAG/l91w=")</f>
        <v>#REF!</v>
      </c>
      <c r="CP14">
        <f>IF('Female Individual Rope Singles'!85:85,"AAAAAG/l910=",0)</f>
        <v>0</v>
      </c>
      <c r="CQ14" t="e">
        <f>AND('Female Individual Rope Singles'!#REF!,"AAAAAG/l914=")</f>
        <v>#REF!</v>
      </c>
      <c r="CR14" t="e">
        <f>AND('Female Individual Rope Singles'!#REF!,"AAAAAG/l918=")</f>
        <v>#REF!</v>
      </c>
      <c r="CS14" t="e">
        <f>AND('Female Individual Rope Singles'!#REF!,"AAAAAG/l92A=")</f>
        <v>#REF!</v>
      </c>
      <c r="CT14" t="e">
        <f>AND('Female Individual Rope Singles'!#REF!,"AAAAAG/l92E=")</f>
        <v>#REF!</v>
      </c>
      <c r="CU14" t="e">
        <f>AND('Female Individual Rope Singles'!#REF!,"AAAAAG/l92I=")</f>
        <v>#REF!</v>
      </c>
      <c r="CV14" t="e">
        <f>AND('Female Individual Rope Singles'!#REF!,"AAAAAG/l92M=")</f>
        <v>#REF!</v>
      </c>
      <c r="CW14" t="e">
        <f>AND('Female Individual Rope Singles'!#REF!,"AAAAAG/l92Q=")</f>
        <v>#REF!</v>
      </c>
      <c r="CX14" t="e">
        <f>AND('Female Individual Rope Singles'!#REF!,"AAAAAG/l92U=")</f>
        <v>#REF!</v>
      </c>
      <c r="CY14" t="e">
        <f>AND('Female Individual Rope Singles'!#REF!,"AAAAAG/l92Y=")</f>
        <v>#REF!</v>
      </c>
      <c r="CZ14" t="e">
        <f>AND('Female Individual Rope Singles'!#REF!,"AAAAAG/l92c=")</f>
        <v>#REF!</v>
      </c>
      <c r="DA14" t="e">
        <f>AND('Female Individual Rope Singles'!#REF!,"AAAAAG/l92g=")</f>
        <v>#REF!</v>
      </c>
      <c r="DB14" t="e">
        <f>AND('Female Individual Rope Singles'!#REF!,"AAAAAG/l92k=")</f>
        <v>#REF!</v>
      </c>
      <c r="DC14" t="e">
        <f>AND('Female Individual Rope Singles'!#REF!,"AAAAAG/l92o=")</f>
        <v>#REF!</v>
      </c>
      <c r="DD14">
        <f>IF('Female Individual Rope Singles'!86:86,"AAAAAG/l92s=",0)</f>
        <v>0</v>
      </c>
      <c r="DE14" t="e">
        <f>AND('Female Individual Rope Singles'!#REF!,"AAAAAG/l92w=")</f>
        <v>#REF!</v>
      </c>
      <c r="DF14" t="e">
        <f>AND('Female Individual Rope Singles'!#REF!,"AAAAAG/l920=")</f>
        <v>#REF!</v>
      </c>
      <c r="DG14" t="e">
        <f>AND('Female Individual Rope Singles'!#REF!,"AAAAAG/l924=")</f>
        <v>#REF!</v>
      </c>
      <c r="DH14" t="e">
        <f>AND('Female Individual Rope Singles'!#REF!,"AAAAAG/l928=")</f>
        <v>#REF!</v>
      </c>
      <c r="DI14" t="e">
        <f>AND('Female Individual Rope Singles'!#REF!,"AAAAAG/l93A=")</f>
        <v>#REF!</v>
      </c>
      <c r="DJ14" t="e">
        <f>AND('Female Individual Rope Singles'!#REF!,"AAAAAG/l93E=")</f>
        <v>#REF!</v>
      </c>
      <c r="DK14" t="e">
        <f>AND('Female Individual Rope Singles'!#REF!,"AAAAAG/l93I=")</f>
        <v>#REF!</v>
      </c>
      <c r="DL14" t="e">
        <f>AND('Female Individual Rope Singles'!#REF!,"AAAAAG/l93M=")</f>
        <v>#REF!</v>
      </c>
      <c r="DM14" t="e">
        <f>AND('Female Individual Rope Singles'!#REF!,"AAAAAG/l93Q=")</f>
        <v>#REF!</v>
      </c>
      <c r="DN14" t="e">
        <f>AND('Female Individual Rope Singles'!#REF!,"AAAAAG/l93U=")</f>
        <v>#REF!</v>
      </c>
      <c r="DO14" t="e">
        <f>AND('Female Individual Rope Singles'!#REF!,"AAAAAG/l93Y=")</f>
        <v>#REF!</v>
      </c>
      <c r="DP14" t="e">
        <f>AND('Female Individual Rope Singles'!#REF!,"AAAAAG/l93c=")</f>
        <v>#REF!</v>
      </c>
      <c r="DQ14" t="e">
        <f>AND('Female Individual Rope Singles'!#REF!,"AAAAAG/l93g=")</f>
        <v>#REF!</v>
      </c>
      <c r="DR14">
        <f>IF('Female Individual Rope Singles'!87:87,"AAAAAG/l93k=",0)</f>
        <v>0</v>
      </c>
      <c r="DS14" t="e">
        <f>AND('Female Individual Rope Singles'!#REF!,"AAAAAG/l93o=")</f>
        <v>#REF!</v>
      </c>
      <c r="DT14" t="e">
        <f>AND('Female Individual Rope Singles'!#REF!,"AAAAAG/l93s=")</f>
        <v>#REF!</v>
      </c>
      <c r="DU14" t="e">
        <f>AND('Female Individual Rope Singles'!#REF!,"AAAAAG/l93w=")</f>
        <v>#REF!</v>
      </c>
      <c r="DV14" t="e">
        <f>AND('Female Individual Rope Singles'!#REF!,"AAAAAG/l930=")</f>
        <v>#REF!</v>
      </c>
      <c r="DW14" t="e">
        <f>AND('Female Individual Rope Singles'!#REF!,"AAAAAG/l934=")</f>
        <v>#REF!</v>
      </c>
      <c r="DX14" t="e">
        <f>AND('Female Individual Rope Singles'!#REF!,"AAAAAG/l938=")</f>
        <v>#REF!</v>
      </c>
      <c r="DY14" t="e">
        <f>AND('Female Individual Rope Singles'!#REF!,"AAAAAG/l94A=")</f>
        <v>#REF!</v>
      </c>
      <c r="DZ14" t="e">
        <f>AND('Female Individual Rope Singles'!#REF!,"AAAAAG/l94E=")</f>
        <v>#REF!</v>
      </c>
      <c r="EA14" t="e">
        <f>AND('Female Individual Rope Singles'!#REF!,"AAAAAG/l94I=")</f>
        <v>#REF!</v>
      </c>
      <c r="EB14" t="e">
        <f>AND('Female Individual Rope Singles'!#REF!,"AAAAAG/l94M=")</f>
        <v>#REF!</v>
      </c>
      <c r="EC14" t="e">
        <f>AND('Female Individual Rope Singles'!#REF!,"AAAAAG/l94Q=")</f>
        <v>#REF!</v>
      </c>
      <c r="ED14" t="e">
        <f>AND('Female Individual Rope Singles'!#REF!,"AAAAAG/l94U=")</f>
        <v>#REF!</v>
      </c>
      <c r="EE14" t="e">
        <f>AND('Female Individual Rope Singles'!#REF!,"AAAAAG/l94Y=")</f>
        <v>#REF!</v>
      </c>
      <c r="EF14">
        <f>IF('Female Individual Rope Singles'!88:88,"AAAAAG/l94c=",0)</f>
        <v>0</v>
      </c>
      <c r="EG14">
        <f>IF('Female Individual Rope Singles'!89:89,"AAAAAG/l94g=",0)</f>
        <v>0</v>
      </c>
      <c r="EH14">
        <f>IF('Female Individual Rope Singles'!90:90,"AAAAAG/l94k=",0)</f>
        <v>0</v>
      </c>
      <c r="EI14">
        <f>IF('Female Individual Rope Singles'!91:91,"AAAAAG/l94o=",0)</f>
        <v>0</v>
      </c>
      <c r="EJ14">
        <f>IF('Female Individual Rope Singles'!92:92,"AAAAAG/l94s=",0)</f>
        <v>0</v>
      </c>
      <c r="EK14">
        <f>IF('Female Individual Rope Singles'!93:93,"AAAAAG/l94w=",0)</f>
        <v>0</v>
      </c>
      <c r="EL14">
        <f>IF('Female Individual Rope Singles'!94:94,"AAAAAG/l940=",0)</f>
        <v>0</v>
      </c>
      <c r="EM14">
        <f>IF('Female Individual Rope Singles'!95:95,"AAAAAG/l944=",0)</f>
        <v>0</v>
      </c>
      <c r="EN14" t="str">
        <f>IF('Female Individual Rope Singles'!A:A,"AAAAAG/l948=",0)</f>
        <v>AAAAAG/l948=</v>
      </c>
      <c r="EO14" t="e">
        <f>IF('Female Individual Rope Singles'!B:B,"AAAAAG/l95A=",0)</f>
        <v>#VALUE!</v>
      </c>
      <c r="EP14" t="e">
        <f>IF('Female Individual Rope Singles'!C:C,"AAAAAG/l95E=",0)</f>
        <v>#VALUE!</v>
      </c>
      <c r="EQ14">
        <f>IF('Female Individual Rope Singles'!D:D,"AAAAAG/l95I=",0)</f>
        <v>0</v>
      </c>
      <c r="ER14" t="e">
        <f>IF('Female Individual Rope Singles'!E:E,"AAAAAG/l95M=",0)</f>
        <v>#VALUE!</v>
      </c>
      <c r="ES14" t="e">
        <f>IF('Female Individual Rope Singles'!F:F,"AAAAAG/l95Q=",0)</f>
        <v>#VALUE!</v>
      </c>
      <c r="ET14">
        <f>IF('Female Individual Rope Singles'!G:G,"AAAAAG/l95U=",0)</f>
        <v>0</v>
      </c>
      <c r="EU14" t="str">
        <f>IF('Female Individual Rope Singles'!H:H,"AAAAAG/l95Y=",0)</f>
        <v>AAAAAG/l95Y=</v>
      </c>
      <c r="EV14" t="e">
        <f>IF('Female Individual Rope Singles'!I:I,"AAAAAG/l95c=",0)</f>
        <v>#VALUE!</v>
      </c>
      <c r="EW14" t="str">
        <f>IF('Female Individual Rope Singles'!J:J,"AAAAAG/l95g=",0)</f>
        <v>AAAAAG/l95g=</v>
      </c>
      <c r="EX14">
        <f>IF('Female Individual Rope Singles'!K:K,"AAAAAG/l95k=",0)</f>
        <v>0</v>
      </c>
      <c r="EY14" t="e">
        <f>IF('Female Individual Rope Singles'!L:L,"AAAAAG/l95o=",0)</f>
        <v>#VALUE!</v>
      </c>
      <c r="EZ14" t="e">
        <f>IF('Female Individual Rope Singles'!M:M,"AAAAAG/l95s=",0)</f>
        <v>#VALUE!</v>
      </c>
      <c r="FA14">
        <f>IF('Individual Rope Pairs'!1:1,"AAAAAG/l95w=",0)</f>
        <v>0</v>
      </c>
      <c r="FB14" t="e">
        <f>AND('Individual Rope Pairs'!A1,"AAAAAG/l950=")</f>
        <v>#VALUE!</v>
      </c>
      <c r="FC14" t="e">
        <f>AND('Individual Rope Pairs'!B1,"AAAAAG/l954=")</f>
        <v>#VALUE!</v>
      </c>
      <c r="FD14" t="e">
        <f>AND('Individual Rope Pairs'!C1,"AAAAAG/l958=")</f>
        <v>#VALUE!</v>
      </c>
      <c r="FE14" t="e">
        <f>AND('Individual Rope Pairs'!D1,"AAAAAG/l96A=")</f>
        <v>#VALUE!</v>
      </c>
      <c r="FF14" t="e">
        <f>AND('Individual Rope Pairs'!E1,"AAAAAG/l96E=")</f>
        <v>#VALUE!</v>
      </c>
      <c r="FG14" t="e">
        <f>AND('Individual Rope Pairs'!F1,"AAAAAG/l96I=")</f>
        <v>#VALUE!</v>
      </c>
      <c r="FH14" t="e">
        <f>AND('Individual Rope Pairs'!#REF!,"AAAAAG/l96M=")</f>
        <v>#REF!</v>
      </c>
      <c r="FI14" t="e">
        <f>AND('Individual Rope Pairs'!#REF!,"AAAAAG/l96Q=")</f>
        <v>#REF!</v>
      </c>
      <c r="FJ14" t="e">
        <f>AND('Individual Rope Pairs'!G1,"AAAAAG/l96U=")</f>
        <v>#VALUE!</v>
      </c>
      <c r="FK14" t="e">
        <f>AND('Individual Rope Pairs'!H1,"AAAAAG/l96Y=")</f>
        <v>#VALUE!</v>
      </c>
      <c r="FL14" t="e">
        <f>AND('Individual Rope Pairs'!I1,"AAAAAG/l96c=")</f>
        <v>#VALUE!</v>
      </c>
      <c r="FM14" t="e">
        <f>AND('Individual Rope Pairs'!J1,"AAAAAG/l96g=")</f>
        <v>#VALUE!</v>
      </c>
      <c r="FN14" t="e">
        <f>AND('Individual Rope Pairs'!K1,"AAAAAG/l96k=")</f>
        <v>#VALUE!</v>
      </c>
      <c r="FO14">
        <f>IF('Individual Rope Pairs'!2:2,"AAAAAG/l96o=",0)</f>
        <v>0</v>
      </c>
      <c r="FP14" t="e">
        <f>AND('Individual Rope Pairs'!A2,"AAAAAG/l96s=")</f>
        <v>#VALUE!</v>
      </c>
      <c r="FQ14" t="e">
        <f>AND('Individual Rope Pairs'!B2,"AAAAAG/l96w=")</f>
        <v>#VALUE!</v>
      </c>
      <c r="FR14" t="e">
        <f>AND('Individual Rope Pairs'!C2,"AAAAAG/l960=")</f>
        <v>#VALUE!</v>
      </c>
      <c r="FS14" t="e">
        <f>AND('Individual Rope Pairs'!D2,"AAAAAG/l964=")</f>
        <v>#VALUE!</v>
      </c>
      <c r="FT14" t="e">
        <f>AND('Individual Rope Pairs'!E2,"AAAAAG/l968=")</f>
        <v>#VALUE!</v>
      </c>
      <c r="FU14" t="e">
        <f>AND('Individual Rope Pairs'!F2,"AAAAAG/l97A=")</f>
        <v>#VALUE!</v>
      </c>
      <c r="FV14" t="e">
        <f>AND('Individual Rope Pairs'!G2,"AAAAAG/l97E=")</f>
        <v>#VALUE!</v>
      </c>
      <c r="FW14" t="e">
        <f>AND('Individual Rope Pairs'!#REF!,"AAAAAG/l97I=")</f>
        <v>#REF!</v>
      </c>
      <c r="FX14" t="e">
        <f>AND('Individual Rope Pairs'!#REF!,"AAAAAG/l97M=")</f>
        <v>#REF!</v>
      </c>
      <c r="FY14" t="e">
        <f>AND('Individual Rope Pairs'!H2,"AAAAAG/l97Q=")</f>
        <v>#VALUE!</v>
      </c>
      <c r="FZ14" t="e">
        <f>AND('Individual Rope Pairs'!I2,"AAAAAG/l97U=")</f>
        <v>#VALUE!</v>
      </c>
      <c r="GA14" t="e">
        <f>AND('Individual Rope Pairs'!J2,"AAAAAG/l97Y=")</f>
        <v>#VALUE!</v>
      </c>
      <c r="GB14" t="e">
        <f>AND('Individual Rope Pairs'!K2,"AAAAAG/l97c=")</f>
        <v>#VALUE!</v>
      </c>
      <c r="GC14">
        <f>IF('Individual Rope Pairs'!3:3,"AAAAAG/l97g=",0)</f>
        <v>0</v>
      </c>
      <c r="GD14" t="e">
        <f>AND('Individual Rope Pairs'!A3,"AAAAAG/l97k=")</f>
        <v>#VALUE!</v>
      </c>
      <c r="GE14" t="e">
        <f>AND('Individual Rope Pairs'!B3,"AAAAAG/l97o=")</f>
        <v>#VALUE!</v>
      </c>
      <c r="GF14" t="e">
        <f>AND('Individual Rope Pairs'!C3,"AAAAAG/l97s=")</f>
        <v>#VALUE!</v>
      </c>
      <c r="GG14" t="e">
        <f>AND('Individual Rope Pairs'!D3,"AAAAAG/l97w=")</f>
        <v>#VALUE!</v>
      </c>
      <c r="GH14" t="e">
        <f>AND('Individual Rope Pairs'!E3,"AAAAAG/l970=")</f>
        <v>#VALUE!</v>
      </c>
      <c r="GI14" t="e">
        <f>AND('Individual Rope Pairs'!F3,"AAAAAG/l974=")</f>
        <v>#VALUE!</v>
      </c>
      <c r="GJ14" t="e">
        <f>AND('Individual Rope Pairs'!G3,"AAAAAG/l978=")</f>
        <v>#VALUE!</v>
      </c>
      <c r="GK14" t="e">
        <f>AND('Individual Rope Pairs'!#REF!,"AAAAAG/l98A=")</f>
        <v>#REF!</v>
      </c>
      <c r="GL14" t="e">
        <f>AND('Individual Rope Pairs'!#REF!,"AAAAAG/l98E=")</f>
        <v>#REF!</v>
      </c>
      <c r="GM14" t="e">
        <f>AND('Individual Rope Pairs'!H3,"AAAAAG/l98I=")</f>
        <v>#VALUE!</v>
      </c>
      <c r="GN14" t="e">
        <f>AND('Individual Rope Pairs'!I3,"AAAAAG/l98M=")</f>
        <v>#VALUE!</v>
      </c>
      <c r="GO14" t="e">
        <f>AND('Individual Rope Pairs'!J3,"AAAAAG/l98Q=")</f>
        <v>#VALUE!</v>
      </c>
      <c r="GP14" t="e">
        <f>AND('Individual Rope Pairs'!K3,"AAAAAG/l98U=")</f>
        <v>#VALUE!</v>
      </c>
      <c r="GQ14">
        <f>IF('Individual Rope Pairs'!4:4,"AAAAAG/l98Y=",0)</f>
        <v>0</v>
      </c>
      <c r="GR14" t="e">
        <f>AND('Individual Rope Pairs'!A4,"AAAAAG/l98c=")</f>
        <v>#VALUE!</v>
      </c>
      <c r="GS14" t="e">
        <f>AND('Individual Rope Pairs'!B4,"AAAAAG/l98g=")</f>
        <v>#VALUE!</v>
      </c>
      <c r="GT14" t="e">
        <f>AND('Individual Rope Pairs'!C4,"AAAAAG/l98k=")</f>
        <v>#VALUE!</v>
      </c>
      <c r="GU14" t="e">
        <f>AND('Individual Rope Pairs'!D4,"AAAAAG/l98o=")</f>
        <v>#VALUE!</v>
      </c>
      <c r="GV14" t="e">
        <f>AND('Individual Rope Pairs'!E4,"AAAAAG/l98s=")</f>
        <v>#VALUE!</v>
      </c>
      <c r="GW14" t="e">
        <f>AND('Individual Rope Pairs'!F4,"AAAAAG/l98w=")</f>
        <v>#VALUE!</v>
      </c>
      <c r="GX14" t="e">
        <f>AND('Individual Rope Pairs'!G4,"AAAAAG/l980=")</f>
        <v>#VALUE!</v>
      </c>
      <c r="GY14" t="e">
        <f>AND('Individual Rope Pairs'!#REF!,"AAAAAG/l984=")</f>
        <v>#REF!</v>
      </c>
      <c r="GZ14" t="e">
        <f>AND('Individual Rope Pairs'!#REF!,"AAAAAG/l988=")</f>
        <v>#REF!</v>
      </c>
      <c r="HA14" t="e">
        <f>AND('Individual Rope Pairs'!H4,"AAAAAG/l99A=")</f>
        <v>#VALUE!</v>
      </c>
      <c r="HB14" t="e">
        <f>AND('Individual Rope Pairs'!I4,"AAAAAG/l99E=")</f>
        <v>#VALUE!</v>
      </c>
      <c r="HC14" t="e">
        <f>AND('Individual Rope Pairs'!J4,"AAAAAG/l99I=")</f>
        <v>#VALUE!</v>
      </c>
      <c r="HD14" t="e">
        <f>AND('Individual Rope Pairs'!K4,"AAAAAG/l99M=")</f>
        <v>#VALUE!</v>
      </c>
      <c r="HE14">
        <f>IF('Individual Rope Pairs'!5:5,"AAAAAG/l99Q=",0)</f>
        <v>0</v>
      </c>
      <c r="HF14" t="b">
        <f>AND('Individual Rope Pairs'!A5,"AAAAAG/l99U=")</f>
        <v>1</v>
      </c>
      <c r="HG14" t="e">
        <f>AND('Individual Rope Pairs'!B5,"AAAAAG/l99Y=")</f>
        <v>#VALUE!</v>
      </c>
      <c r="HH14" t="e">
        <f>AND('Individual Rope Pairs'!C5,"AAAAAG/l99c=")</f>
        <v>#VALUE!</v>
      </c>
      <c r="HI14" t="e">
        <f>AND('Individual Rope Pairs'!D5,"AAAAAG/l99g=")</f>
        <v>#VALUE!</v>
      </c>
      <c r="HJ14" t="e">
        <f>AND('Individual Rope Pairs'!E5,"AAAAAG/l99k=")</f>
        <v>#VALUE!</v>
      </c>
      <c r="HK14" t="e">
        <f>AND('Individual Rope Pairs'!F5,"AAAAAG/l99o=")</f>
        <v>#VALUE!</v>
      </c>
      <c r="HL14" t="e">
        <f>AND('Individual Rope Pairs'!G5,"AAAAAG/l99s=")</f>
        <v>#VALUE!</v>
      </c>
      <c r="HM14" t="e">
        <f>AND('Individual Rope Pairs'!#REF!,"AAAAAG/l99w=")</f>
        <v>#REF!</v>
      </c>
      <c r="HN14" t="e">
        <f>AND('Individual Rope Pairs'!#REF!,"AAAAAG/l990=")</f>
        <v>#REF!</v>
      </c>
      <c r="HO14" t="e">
        <f>AND('Individual Rope Pairs'!H5,"AAAAAG/l994=")</f>
        <v>#VALUE!</v>
      </c>
      <c r="HP14" t="e">
        <f>AND('Individual Rope Pairs'!I5,"AAAAAG/l998=")</f>
        <v>#VALUE!</v>
      </c>
      <c r="HQ14" t="e">
        <f>AND('Individual Rope Pairs'!J5,"AAAAAG/l9+A=")</f>
        <v>#VALUE!</v>
      </c>
      <c r="HR14" t="e">
        <f>AND('Individual Rope Pairs'!K5,"AAAAAG/l9+E=")</f>
        <v>#VALUE!</v>
      </c>
      <c r="HS14">
        <f>IF('Individual Rope Pairs'!6:6,"AAAAAG/l9+I=",0)</f>
        <v>0</v>
      </c>
      <c r="HT14" t="b">
        <f>AND('Individual Rope Pairs'!A6,"AAAAAG/l9+M=")</f>
        <v>1</v>
      </c>
      <c r="HU14" t="e">
        <f>AND('Individual Rope Pairs'!B6,"AAAAAG/l9+Q=")</f>
        <v>#VALUE!</v>
      </c>
      <c r="HV14" t="e">
        <f>AND('Individual Rope Pairs'!C6,"AAAAAG/l9+U=")</f>
        <v>#VALUE!</v>
      </c>
      <c r="HW14" t="e">
        <f>AND('Individual Rope Pairs'!D6,"AAAAAG/l9+Y=")</f>
        <v>#VALUE!</v>
      </c>
      <c r="HX14" t="e">
        <f>AND('Individual Rope Pairs'!E6,"AAAAAG/l9+c=")</f>
        <v>#VALUE!</v>
      </c>
      <c r="HY14" t="e">
        <f>AND('Individual Rope Pairs'!F6,"AAAAAG/l9+g=")</f>
        <v>#VALUE!</v>
      </c>
      <c r="HZ14" t="e">
        <f>AND('Individual Rope Pairs'!G6,"AAAAAG/l9+k=")</f>
        <v>#VALUE!</v>
      </c>
      <c r="IA14" t="e">
        <f>AND('Individual Rope Pairs'!#REF!,"AAAAAG/l9+o=")</f>
        <v>#REF!</v>
      </c>
      <c r="IB14" t="e">
        <f>AND('Individual Rope Pairs'!#REF!,"AAAAAG/l9+s=")</f>
        <v>#REF!</v>
      </c>
      <c r="IC14" t="e">
        <f>AND('Individual Rope Pairs'!H6,"AAAAAG/l9+w=")</f>
        <v>#VALUE!</v>
      </c>
      <c r="ID14" t="e">
        <f>AND('Individual Rope Pairs'!I6,"AAAAAG/l9+0=")</f>
        <v>#VALUE!</v>
      </c>
      <c r="IE14" t="e">
        <f>AND('Individual Rope Pairs'!J6,"AAAAAG/l9+4=")</f>
        <v>#VALUE!</v>
      </c>
      <c r="IF14" t="e">
        <f>AND('Individual Rope Pairs'!K6,"AAAAAG/l9+8=")</f>
        <v>#VALUE!</v>
      </c>
      <c r="IG14">
        <f>IF('Individual Rope Pairs'!7:7,"AAAAAG/l9/A=",0)</f>
        <v>0</v>
      </c>
      <c r="IH14" t="b">
        <f>AND('Individual Rope Pairs'!A7,"AAAAAG/l9/E=")</f>
        <v>1</v>
      </c>
      <c r="II14" t="e">
        <f>AND('Individual Rope Pairs'!B7,"AAAAAG/l9/I=")</f>
        <v>#VALUE!</v>
      </c>
      <c r="IJ14" t="e">
        <f>AND('Individual Rope Pairs'!C7,"AAAAAG/l9/M=")</f>
        <v>#VALUE!</v>
      </c>
      <c r="IK14" t="e">
        <f>AND('Individual Rope Pairs'!D7,"AAAAAG/l9/Q=")</f>
        <v>#VALUE!</v>
      </c>
      <c r="IL14" t="e">
        <f>AND('Individual Rope Pairs'!E7,"AAAAAG/l9/U=")</f>
        <v>#VALUE!</v>
      </c>
      <c r="IM14" t="e">
        <f>AND('Individual Rope Pairs'!F7,"AAAAAG/l9/Y=")</f>
        <v>#VALUE!</v>
      </c>
      <c r="IN14" t="e">
        <f>AND('Individual Rope Pairs'!G7,"AAAAAG/l9/c=")</f>
        <v>#VALUE!</v>
      </c>
      <c r="IO14" t="e">
        <f>AND('Individual Rope Pairs'!#REF!,"AAAAAG/l9/g=")</f>
        <v>#REF!</v>
      </c>
      <c r="IP14" t="e">
        <f>AND('Individual Rope Pairs'!#REF!,"AAAAAG/l9/k=")</f>
        <v>#REF!</v>
      </c>
      <c r="IQ14" t="e">
        <f>AND('Individual Rope Pairs'!H7,"AAAAAG/l9/o=")</f>
        <v>#VALUE!</v>
      </c>
      <c r="IR14" t="e">
        <f>AND('Individual Rope Pairs'!I7,"AAAAAG/l9/s=")</f>
        <v>#VALUE!</v>
      </c>
      <c r="IS14" t="e">
        <f>AND('Individual Rope Pairs'!J7,"AAAAAG/l9/w=")</f>
        <v>#VALUE!</v>
      </c>
      <c r="IT14" t="e">
        <f>AND('Individual Rope Pairs'!K7,"AAAAAG/l9/0=")</f>
        <v>#VALUE!</v>
      </c>
      <c r="IU14">
        <f>IF('Individual Rope Pairs'!8:8,"AAAAAG/l9/4=",0)</f>
        <v>0</v>
      </c>
      <c r="IV14" t="b">
        <f>AND('Individual Rope Pairs'!A8,"AAAAAG/l9/8=")</f>
        <v>1</v>
      </c>
    </row>
    <row r="15" spans="1:256" x14ac:dyDescent="0.25">
      <c r="A15" t="e">
        <f>AND('Individual Rope Pairs'!B8,"AAAAAH/76AA=")</f>
        <v>#VALUE!</v>
      </c>
      <c r="B15" t="e">
        <f>AND('Individual Rope Pairs'!C8,"AAAAAH/76AE=")</f>
        <v>#VALUE!</v>
      </c>
      <c r="C15" t="e">
        <f>AND('Individual Rope Pairs'!D8,"AAAAAH/76AI=")</f>
        <v>#VALUE!</v>
      </c>
      <c r="D15" t="e">
        <f>AND('Individual Rope Pairs'!E8,"AAAAAH/76AM=")</f>
        <v>#VALUE!</v>
      </c>
      <c r="E15" t="e">
        <f>AND('Individual Rope Pairs'!F8,"AAAAAH/76AQ=")</f>
        <v>#VALUE!</v>
      </c>
      <c r="F15" t="e">
        <f>AND('Individual Rope Pairs'!G8,"AAAAAH/76AU=")</f>
        <v>#VALUE!</v>
      </c>
      <c r="G15" t="e">
        <f>AND('Individual Rope Pairs'!#REF!,"AAAAAH/76AY=")</f>
        <v>#REF!</v>
      </c>
      <c r="H15" t="e">
        <f>AND('Individual Rope Pairs'!#REF!,"AAAAAH/76Ac=")</f>
        <v>#REF!</v>
      </c>
      <c r="I15" t="e">
        <f>AND('Individual Rope Pairs'!H8,"AAAAAH/76Ag=")</f>
        <v>#VALUE!</v>
      </c>
      <c r="J15" t="e">
        <f>AND('Individual Rope Pairs'!I8,"AAAAAH/76Ak=")</f>
        <v>#VALUE!</v>
      </c>
      <c r="K15" t="e">
        <f>AND('Individual Rope Pairs'!J8,"AAAAAH/76Ao=")</f>
        <v>#VALUE!</v>
      </c>
      <c r="L15" t="e">
        <f>AND('Individual Rope Pairs'!K8,"AAAAAH/76As=")</f>
        <v>#VALUE!</v>
      </c>
      <c r="M15">
        <f>IF('Individual Rope Pairs'!9:9,"AAAAAH/76Aw=",0)</f>
        <v>0</v>
      </c>
      <c r="N15" t="b">
        <f>AND('Individual Rope Pairs'!A9,"AAAAAH/76A0=")</f>
        <v>1</v>
      </c>
      <c r="O15" t="e">
        <f>AND('Individual Rope Pairs'!B9,"AAAAAH/76A4=")</f>
        <v>#VALUE!</v>
      </c>
      <c r="P15" t="e">
        <f>AND('Individual Rope Pairs'!C9,"AAAAAH/76A8=")</f>
        <v>#VALUE!</v>
      </c>
      <c r="Q15" t="e">
        <f>AND('Individual Rope Pairs'!D9,"AAAAAH/76BA=")</f>
        <v>#VALUE!</v>
      </c>
      <c r="R15" t="e">
        <f>AND('Individual Rope Pairs'!E9,"AAAAAH/76BE=")</f>
        <v>#VALUE!</v>
      </c>
      <c r="S15" t="e">
        <f>AND('Individual Rope Pairs'!F9,"AAAAAH/76BI=")</f>
        <v>#VALUE!</v>
      </c>
      <c r="T15" t="e">
        <f>AND('Individual Rope Pairs'!G9,"AAAAAH/76BM=")</f>
        <v>#VALUE!</v>
      </c>
      <c r="U15" t="e">
        <f>AND('Individual Rope Pairs'!#REF!,"AAAAAH/76BQ=")</f>
        <v>#REF!</v>
      </c>
      <c r="V15" t="e">
        <f>AND('Individual Rope Pairs'!#REF!,"AAAAAH/76BU=")</f>
        <v>#REF!</v>
      </c>
      <c r="W15" t="e">
        <f>AND('Individual Rope Pairs'!H9,"AAAAAH/76BY=")</f>
        <v>#VALUE!</v>
      </c>
      <c r="X15" t="e">
        <f>AND('Individual Rope Pairs'!I9,"AAAAAH/76Bc=")</f>
        <v>#VALUE!</v>
      </c>
      <c r="Y15" t="e">
        <f>AND('Individual Rope Pairs'!J9,"AAAAAH/76Bg=")</f>
        <v>#VALUE!</v>
      </c>
      <c r="Z15" t="e">
        <f>AND('Individual Rope Pairs'!K9,"AAAAAH/76Bk=")</f>
        <v>#VALUE!</v>
      </c>
      <c r="AA15">
        <f>IF('Individual Rope Pairs'!10:10,"AAAAAH/76Bo=",0)</f>
        <v>0</v>
      </c>
      <c r="AB15" t="b">
        <f>AND('Individual Rope Pairs'!A10,"AAAAAH/76Bs=")</f>
        <v>1</v>
      </c>
      <c r="AC15" t="e">
        <f>AND('Individual Rope Pairs'!B10,"AAAAAH/76Bw=")</f>
        <v>#VALUE!</v>
      </c>
      <c r="AD15" t="e">
        <f>AND('Individual Rope Pairs'!C10,"AAAAAH/76B0=")</f>
        <v>#VALUE!</v>
      </c>
      <c r="AE15" t="e">
        <f>AND('Individual Rope Pairs'!D10,"AAAAAH/76B4=")</f>
        <v>#VALUE!</v>
      </c>
      <c r="AF15" t="e">
        <f>AND('Individual Rope Pairs'!E10,"AAAAAH/76B8=")</f>
        <v>#VALUE!</v>
      </c>
      <c r="AG15" t="e">
        <f>AND('Individual Rope Pairs'!F10,"AAAAAH/76CA=")</f>
        <v>#VALUE!</v>
      </c>
      <c r="AH15" t="e">
        <f>AND('Individual Rope Pairs'!G10,"AAAAAH/76CE=")</f>
        <v>#VALUE!</v>
      </c>
      <c r="AI15" t="e">
        <f>AND('Individual Rope Pairs'!#REF!,"AAAAAH/76CI=")</f>
        <v>#REF!</v>
      </c>
      <c r="AJ15" t="e">
        <f>AND('Individual Rope Pairs'!#REF!,"AAAAAH/76CM=")</f>
        <v>#REF!</v>
      </c>
      <c r="AK15" t="e">
        <f>AND('Individual Rope Pairs'!H10,"AAAAAH/76CQ=")</f>
        <v>#VALUE!</v>
      </c>
      <c r="AL15" t="e">
        <f>AND('Individual Rope Pairs'!I10,"AAAAAH/76CU=")</f>
        <v>#VALUE!</v>
      </c>
      <c r="AM15" t="e">
        <f>AND('Individual Rope Pairs'!J10,"AAAAAH/76CY=")</f>
        <v>#VALUE!</v>
      </c>
      <c r="AN15" t="e">
        <f>AND('Individual Rope Pairs'!K10,"AAAAAH/76Cc=")</f>
        <v>#VALUE!</v>
      </c>
      <c r="AO15">
        <f>IF('Individual Rope Pairs'!11:11,"AAAAAH/76Cg=",0)</f>
        <v>0</v>
      </c>
      <c r="AP15" t="b">
        <f>AND('Individual Rope Pairs'!A11,"AAAAAH/76Ck=")</f>
        <v>1</v>
      </c>
      <c r="AQ15" t="e">
        <f>AND('Individual Rope Pairs'!B11,"AAAAAH/76Co=")</f>
        <v>#VALUE!</v>
      </c>
      <c r="AR15" t="e">
        <f>AND('Individual Rope Pairs'!C11,"AAAAAH/76Cs=")</f>
        <v>#VALUE!</v>
      </c>
      <c r="AS15" t="e">
        <f>AND('Individual Rope Pairs'!D11,"AAAAAH/76Cw=")</f>
        <v>#VALUE!</v>
      </c>
      <c r="AT15" t="e">
        <f>AND('Individual Rope Pairs'!E11,"AAAAAH/76C0=")</f>
        <v>#VALUE!</v>
      </c>
      <c r="AU15" t="e">
        <f>AND('Individual Rope Pairs'!F11,"AAAAAH/76C4=")</f>
        <v>#VALUE!</v>
      </c>
      <c r="AV15" t="e">
        <f>AND('Individual Rope Pairs'!G11,"AAAAAH/76C8=")</f>
        <v>#VALUE!</v>
      </c>
      <c r="AW15" t="e">
        <f>AND('Individual Rope Pairs'!#REF!,"AAAAAH/76DA=")</f>
        <v>#REF!</v>
      </c>
      <c r="AX15" t="e">
        <f>AND('Individual Rope Pairs'!#REF!,"AAAAAH/76DE=")</f>
        <v>#REF!</v>
      </c>
      <c r="AY15" t="e">
        <f>AND('Individual Rope Pairs'!H11,"AAAAAH/76DI=")</f>
        <v>#VALUE!</v>
      </c>
      <c r="AZ15" t="e">
        <f>AND('Individual Rope Pairs'!I11,"AAAAAH/76DM=")</f>
        <v>#VALUE!</v>
      </c>
      <c r="BA15" t="e">
        <f>AND('Individual Rope Pairs'!J11,"AAAAAH/76DQ=")</f>
        <v>#VALUE!</v>
      </c>
      <c r="BB15" t="e">
        <f>AND('Individual Rope Pairs'!K11,"AAAAAH/76DU=")</f>
        <v>#VALUE!</v>
      </c>
      <c r="BC15">
        <f>IF('Individual Rope Pairs'!12:12,"AAAAAH/76DY=",0)</f>
        <v>0</v>
      </c>
      <c r="BD15" t="b">
        <f>AND('Individual Rope Pairs'!A12,"AAAAAH/76Dc=")</f>
        <v>1</v>
      </c>
      <c r="BE15" t="e">
        <f>AND('Individual Rope Pairs'!B12,"AAAAAH/76Dg=")</f>
        <v>#VALUE!</v>
      </c>
      <c r="BF15" t="e">
        <f>AND('Individual Rope Pairs'!C12,"AAAAAH/76Dk=")</f>
        <v>#VALUE!</v>
      </c>
      <c r="BG15" t="e">
        <f>AND('Individual Rope Pairs'!D12,"AAAAAH/76Do=")</f>
        <v>#VALUE!</v>
      </c>
      <c r="BH15" t="e">
        <f>AND('Individual Rope Pairs'!E12,"AAAAAH/76Ds=")</f>
        <v>#VALUE!</v>
      </c>
      <c r="BI15" t="e">
        <f>AND('Individual Rope Pairs'!F12,"AAAAAH/76Dw=")</f>
        <v>#VALUE!</v>
      </c>
      <c r="BJ15" t="e">
        <f>AND('Individual Rope Pairs'!G12,"AAAAAH/76D0=")</f>
        <v>#VALUE!</v>
      </c>
      <c r="BK15" t="e">
        <f>AND('Individual Rope Pairs'!#REF!,"AAAAAH/76D4=")</f>
        <v>#REF!</v>
      </c>
      <c r="BL15" t="e">
        <f>AND('Individual Rope Pairs'!#REF!,"AAAAAH/76D8=")</f>
        <v>#REF!</v>
      </c>
      <c r="BM15" t="e">
        <f>AND('Individual Rope Pairs'!H12,"AAAAAH/76EA=")</f>
        <v>#VALUE!</v>
      </c>
      <c r="BN15" t="e">
        <f>AND('Individual Rope Pairs'!I12,"AAAAAH/76EE=")</f>
        <v>#VALUE!</v>
      </c>
      <c r="BO15" t="e">
        <f>AND('Individual Rope Pairs'!J12,"AAAAAH/76EI=")</f>
        <v>#VALUE!</v>
      </c>
      <c r="BP15" t="e">
        <f>AND('Individual Rope Pairs'!K12,"AAAAAH/76EM=")</f>
        <v>#VALUE!</v>
      </c>
      <c r="BQ15">
        <f>IF('Individual Rope Pairs'!13:13,"AAAAAH/76EQ=",0)</f>
        <v>0</v>
      </c>
      <c r="BR15" t="e">
        <f>AND('Individual Rope Pairs'!A13,"AAAAAH/76EU=")</f>
        <v>#VALUE!</v>
      </c>
      <c r="BS15" t="e">
        <f>AND('Individual Rope Pairs'!B13,"AAAAAH/76EY=")</f>
        <v>#VALUE!</v>
      </c>
      <c r="BT15" t="e">
        <f>AND('Individual Rope Pairs'!C13,"AAAAAH/76Ec=")</f>
        <v>#VALUE!</v>
      </c>
      <c r="BU15" t="e">
        <f>AND('Individual Rope Pairs'!D13,"AAAAAH/76Eg=")</f>
        <v>#VALUE!</v>
      </c>
      <c r="BV15" t="e">
        <f>AND('Individual Rope Pairs'!E13,"AAAAAH/76Ek=")</f>
        <v>#VALUE!</v>
      </c>
      <c r="BW15" t="e">
        <f>AND('Individual Rope Pairs'!F13,"AAAAAH/76Eo=")</f>
        <v>#VALUE!</v>
      </c>
      <c r="BX15" t="e">
        <f>AND('Individual Rope Pairs'!G13,"AAAAAH/76Es=")</f>
        <v>#VALUE!</v>
      </c>
      <c r="BY15" t="e">
        <f>AND('Individual Rope Pairs'!#REF!,"AAAAAH/76Ew=")</f>
        <v>#REF!</v>
      </c>
      <c r="BZ15" t="e">
        <f>AND('Individual Rope Pairs'!#REF!,"AAAAAH/76E0=")</f>
        <v>#REF!</v>
      </c>
      <c r="CA15" t="e">
        <f>AND('Individual Rope Pairs'!H13,"AAAAAH/76E4=")</f>
        <v>#VALUE!</v>
      </c>
      <c r="CB15" t="e">
        <f>AND('Individual Rope Pairs'!I13,"AAAAAH/76E8=")</f>
        <v>#VALUE!</v>
      </c>
      <c r="CC15" t="e">
        <f>AND('Individual Rope Pairs'!J13,"AAAAAH/76FA=")</f>
        <v>#VALUE!</v>
      </c>
      <c r="CD15" t="e">
        <f>AND('Individual Rope Pairs'!K13,"AAAAAH/76FE=")</f>
        <v>#VALUE!</v>
      </c>
      <c r="CE15">
        <f>IF('Individual Rope Pairs'!14:14,"AAAAAH/76FI=",0)</f>
        <v>0</v>
      </c>
      <c r="CF15" t="e">
        <f>AND('Individual Rope Pairs'!A14,"AAAAAH/76FM=")</f>
        <v>#VALUE!</v>
      </c>
      <c r="CG15" t="e">
        <f>AND('Individual Rope Pairs'!B14,"AAAAAH/76FQ=")</f>
        <v>#VALUE!</v>
      </c>
      <c r="CH15" t="e">
        <f>AND('Individual Rope Pairs'!C14,"AAAAAH/76FU=")</f>
        <v>#VALUE!</v>
      </c>
      <c r="CI15" t="e">
        <f>AND('Individual Rope Pairs'!D14,"AAAAAH/76FY=")</f>
        <v>#VALUE!</v>
      </c>
      <c r="CJ15" t="e">
        <f>AND('Individual Rope Pairs'!E14,"AAAAAH/76Fc=")</f>
        <v>#VALUE!</v>
      </c>
      <c r="CK15" t="e">
        <f>AND('Individual Rope Pairs'!F14,"AAAAAH/76Fg=")</f>
        <v>#VALUE!</v>
      </c>
      <c r="CL15" t="e">
        <f>AND('Individual Rope Pairs'!G14,"AAAAAH/76Fk=")</f>
        <v>#VALUE!</v>
      </c>
      <c r="CM15" t="e">
        <f>AND('Individual Rope Pairs'!#REF!,"AAAAAH/76Fo=")</f>
        <v>#REF!</v>
      </c>
      <c r="CN15" t="e">
        <f>AND('Individual Rope Pairs'!#REF!,"AAAAAH/76Fs=")</f>
        <v>#REF!</v>
      </c>
      <c r="CO15" t="e">
        <f>AND('Individual Rope Pairs'!H14,"AAAAAH/76Fw=")</f>
        <v>#VALUE!</v>
      </c>
      <c r="CP15" t="e">
        <f>AND('Individual Rope Pairs'!I14,"AAAAAH/76F0=")</f>
        <v>#VALUE!</v>
      </c>
      <c r="CQ15" t="e">
        <f>AND('Individual Rope Pairs'!J14,"AAAAAH/76F4=")</f>
        <v>#VALUE!</v>
      </c>
      <c r="CR15" t="e">
        <f>AND('Individual Rope Pairs'!K14,"AAAAAH/76F8=")</f>
        <v>#VALUE!</v>
      </c>
      <c r="CS15">
        <f>IF('Individual Rope Pairs'!15:15,"AAAAAH/76GA=",0)</f>
        <v>0</v>
      </c>
      <c r="CT15" t="b">
        <f>AND('Individual Rope Pairs'!A15,"AAAAAH/76GE=")</f>
        <v>1</v>
      </c>
      <c r="CU15" t="e">
        <f>AND('Individual Rope Pairs'!B15,"AAAAAH/76GI=")</f>
        <v>#VALUE!</v>
      </c>
      <c r="CV15" t="e">
        <f>AND('Individual Rope Pairs'!C15,"AAAAAH/76GM=")</f>
        <v>#VALUE!</v>
      </c>
      <c r="CW15" t="e">
        <f>AND('Individual Rope Pairs'!D15,"AAAAAH/76GQ=")</f>
        <v>#VALUE!</v>
      </c>
      <c r="CX15" t="e">
        <f>AND('Individual Rope Pairs'!E15,"AAAAAH/76GU=")</f>
        <v>#VALUE!</v>
      </c>
      <c r="CY15" t="e">
        <f>AND('Individual Rope Pairs'!F15,"AAAAAH/76GY=")</f>
        <v>#VALUE!</v>
      </c>
      <c r="CZ15" t="e">
        <f>AND('Individual Rope Pairs'!G15,"AAAAAH/76Gc=")</f>
        <v>#VALUE!</v>
      </c>
      <c r="DA15" t="e">
        <f>AND('Individual Rope Pairs'!#REF!,"AAAAAH/76Gg=")</f>
        <v>#REF!</v>
      </c>
      <c r="DB15" t="e">
        <f>AND('Individual Rope Pairs'!#REF!,"AAAAAH/76Gk=")</f>
        <v>#REF!</v>
      </c>
      <c r="DC15" t="e">
        <f>AND('Individual Rope Pairs'!H15,"AAAAAH/76Go=")</f>
        <v>#VALUE!</v>
      </c>
      <c r="DD15" t="e">
        <f>AND('Individual Rope Pairs'!I15,"AAAAAH/76Gs=")</f>
        <v>#VALUE!</v>
      </c>
      <c r="DE15" t="e">
        <f>AND('Individual Rope Pairs'!J15,"AAAAAH/76Gw=")</f>
        <v>#VALUE!</v>
      </c>
      <c r="DF15" t="e">
        <f>AND('Individual Rope Pairs'!K15,"AAAAAH/76G0=")</f>
        <v>#VALUE!</v>
      </c>
      <c r="DG15">
        <f>IF('Individual Rope Pairs'!16:16,"AAAAAH/76G4=",0)</f>
        <v>0</v>
      </c>
      <c r="DH15" t="b">
        <f>AND('Individual Rope Pairs'!A16,"AAAAAH/76G8=")</f>
        <v>1</v>
      </c>
      <c r="DI15" t="e">
        <f>AND('Individual Rope Pairs'!B16,"AAAAAH/76HA=")</f>
        <v>#VALUE!</v>
      </c>
      <c r="DJ15" t="e">
        <f>AND('Individual Rope Pairs'!C16,"AAAAAH/76HE=")</f>
        <v>#VALUE!</v>
      </c>
      <c r="DK15" t="e">
        <f>AND('Individual Rope Pairs'!D16,"AAAAAH/76HI=")</f>
        <v>#VALUE!</v>
      </c>
      <c r="DL15" t="e">
        <f>AND('Individual Rope Pairs'!E16,"AAAAAH/76HM=")</f>
        <v>#VALUE!</v>
      </c>
      <c r="DM15" t="e">
        <f>AND('Individual Rope Pairs'!F16,"AAAAAH/76HQ=")</f>
        <v>#VALUE!</v>
      </c>
      <c r="DN15" t="e">
        <f>AND('Individual Rope Pairs'!G16,"AAAAAH/76HU=")</f>
        <v>#VALUE!</v>
      </c>
      <c r="DO15" t="e">
        <f>AND('Individual Rope Pairs'!#REF!,"AAAAAH/76HY=")</f>
        <v>#REF!</v>
      </c>
      <c r="DP15" t="e">
        <f>AND('Individual Rope Pairs'!#REF!,"AAAAAH/76Hc=")</f>
        <v>#REF!</v>
      </c>
      <c r="DQ15" t="e">
        <f>AND('Individual Rope Pairs'!H16,"AAAAAH/76Hg=")</f>
        <v>#VALUE!</v>
      </c>
      <c r="DR15" t="e">
        <f>AND('Individual Rope Pairs'!I16,"AAAAAH/76Hk=")</f>
        <v>#VALUE!</v>
      </c>
      <c r="DS15" t="e">
        <f>AND('Individual Rope Pairs'!J16,"AAAAAH/76Ho=")</f>
        <v>#VALUE!</v>
      </c>
      <c r="DT15" t="e">
        <f>AND('Individual Rope Pairs'!K16,"AAAAAH/76Hs=")</f>
        <v>#VALUE!</v>
      </c>
      <c r="DU15">
        <f>IF('Individual Rope Pairs'!17:17,"AAAAAH/76Hw=",0)</f>
        <v>0</v>
      </c>
      <c r="DV15" t="b">
        <f>AND('Individual Rope Pairs'!A17,"AAAAAH/76H0=")</f>
        <v>1</v>
      </c>
      <c r="DW15" t="e">
        <f>AND('Individual Rope Pairs'!B17,"AAAAAH/76H4=")</f>
        <v>#VALUE!</v>
      </c>
      <c r="DX15" t="e">
        <f>AND('Individual Rope Pairs'!C17,"AAAAAH/76H8=")</f>
        <v>#VALUE!</v>
      </c>
      <c r="DY15" t="e">
        <f>AND('Individual Rope Pairs'!D17,"AAAAAH/76IA=")</f>
        <v>#VALUE!</v>
      </c>
      <c r="DZ15" t="e">
        <f>AND('Individual Rope Pairs'!E17,"AAAAAH/76IE=")</f>
        <v>#VALUE!</v>
      </c>
      <c r="EA15" t="e">
        <f>AND('Individual Rope Pairs'!F17,"AAAAAH/76II=")</f>
        <v>#VALUE!</v>
      </c>
      <c r="EB15" t="e">
        <f>AND('Individual Rope Pairs'!G17,"AAAAAH/76IM=")</f>
        <v>#VALUE!</v>
      </c>
      <c r="EC15" t="e">
        <f>AND('Individual Rope Pairs'!#REF!,"AAAAAH/76IQ=")</f>
        <v>#REF!</v>
      </c>
      <c r="ED15" t="e">
        <f>AND('Individual Rope Pairs'!#REF!,"AAAAAH/76IU=")</f>
        <v>#REF!</v>
      </c>
      <c r="EE15" t="e">
        <f>AND('Individual Rope Pairs'!H17,"AAAAAH/76IY=")</f>
        <v>#VALUE!</v>
      </c>
      <c r="EF15" t="e">
        <f>AND('Individual Rope Pairs'!I17,"AAAAAH/76Ic=")</f>
        <v>#VALUE!</v>
      </c>
      <c r="EG15" t="e">
        <f>AND('Individual Rope Pairs'!J17,"AAAAAH/76Ig=")</f>
        <v>#VALUE!</v>
      </c>
      <c r="EH15" t="e">
        <f>AND('Individual Rope Pairs'!K17,"AAAAAH/76Ik=")</f>
        <v>#VALUE!</v>
      </c>
      <c r="EI15">
        <f>IF('Individual Rope Pairs'!18:18,"AAAAAH/76Io=",0)</f>
        <v>0</v>
      </c>
      <c r="EJ15" t="b">
        <f>AND('Individual Rope Pairs'!A18,"AAAAAH/76Is=")</f>
        <v>1</v>
      </c>
      <c r="EK15" t="e">
        <f>AND('Individual Rope Pairs'!B18,"AAAAAH/76Iw=")</f>
        <v>#VALUE!</v>
      </c>
      <c r="EL15" t="e">
        <f>AND('Individual Rope Pairs'!C18,"AAAAAH/76I0=")</f>
        <v>#VALUE!</v>
      </c>
      <c r="EM15" t="e">
        <f>AND('Individual Rope Pairs'!D18,"AAAAAH/76I4=")</f>
        <v>#VALUE!</v>
      </c>
      <c r="EN15" t="e">
        <f>AND('Individual Rope Pairs'!E18,"AAAAAH/76I8=")</f>
        <v>#VALUE!</v>
      </c>
      <c r="EO15" t="e">
        <f>AND('Individual Rope Pairs'!F18,"AAAAAH/76JA=")</f>
        <v>#VALUE!</v>
      </c>
      <c r="EP15" t="e">
        <f>AND('Individual Rope Pairs'!G18,"AAAAAH/76JE=")</f>
        <v>#VALUE!</v>
      </c>
      <c r="EQ15" t="e">
        <f>AND('Individual Rope Pairs'!#REF!,"AAAAAH/76JI=")</f>
        <v>#REF!</v>
      </c>
      <c r="ER15" t="e">
        <f>AND('Individual Rope Pairs'!#REF!,"AAAAAH/76JM=")</f>
        <v>#REF!</v>
      </c>
      <c r="ES15" t="e">
        <f>AND('Individual Rope Pairs'!H18,"AAAAAH/76JQ=")</f>
        <v>#VALUE!</v>
      </c>
      <c r="ET15" t="e">
        <f>AND('Individual Rope Pairs'!I18,"AAAAAH/76JU=")</f>
        <v>#VALUE!</v>
      </c>
      <c r="EU15" t="e">
        <f>AND('Individual Rope Pairs'!J18,"AAAAAH/76JY=")</f>
        <v>#VALUE!</v>
      </c>
      <c r="EV15" t="e">
        <f>AND('Individual Rope Pairs'!K18,"AAAAAH/76Jc=")</f>
        <v>#VALUE!</v>
      </c>
      <c r="EW15">
        <f>IF('Individual Rope Pairs'!19:19,"AAAAAH/76Jg=",0)</f>
        <v>0</v>
      </c>
      <c r="EX15" t="b">
        <f>AND('Individual Rope Pairs'!A19,"AAAAAH/76Jk=")</f>
        <v>1</v>
      </c>
      <c r="EY15" t="e">
        <f>AND('Individual Rope Pairs'!B19,"AAAAAH/76Jo=")</f>
        <v>#VALUE!</v>
      </c>
      <c r="EZ15" t="e">
        <f>AND('Individual Rope Pairs'!C19,"AAAAAH/76Js=")</f>
        <v>#VALUE!</v>
      </c>
      <c r="FA15" t="e">
        <f>AND('Individual Rope Pairs'!D19,"AAAAAH/76Jw=")</f>
        <v>#VALUE!</v>
      </c>
      <c r="FB15" t="e">
        <f>AND('Individual Rope Pairs'!E19,"AAAAAH/76J0=")</f>
        <v>#VALUE!</v>
      </c>
      <c r="FC15" t="e">
        <f>AND('Individual Rope Pairs'!F19,"AAAAAH/76J4=")</f>
        <v>#VALUE!</v>
      </c>
      <c r="FD15" t="e">
        <f>AND('Individual Rope Pairs'!G19,"AAAAAH/76J8=")</f>
        <v>#VALUE!</v>
      </c>
      <c r="FE15" t="e">
        <f>AND('Individual Rope Pairs'!#REF!,"AAAAAH/76KA=")</f>
        <v>#REF!</v>
      </c>
      <c r="FF15" t="e">
        <f>AND('Individual Rope Pairs'!#REF!,"AAAAAH/76KE=")</f>
        <v>#REF!</v>
      </c>
      <c r="FG15" t="e">
        <f>AND('Individual Rope Pairs'!H19,"AAAAAH/76KI=")</f>
        <v>#VALUE!</v>
      </c>
      <c r="FH15" t="e">
        <f>AND('Individual Rope Pairs'!I19,"AAAAAH/76KM=")</f>
        <v>#VALUE!</v>
      </c>
      <c r="FI15" t="e">
        <f>AND('Individual Rope Pairs'!J19,"AAAAAH/76KQ=")</f>
        <v>#VALUE!</v>
      </c>
      <c r="FJ15" t="e">
        <f>AND('Individual Rope Pairs'!K19,"AAAAAH/76KU=")</f>
        <v>#VALUE!</v>
      </c>
      <c r="FK15">
        <f>IF('Individual Rope Pairs'!20:20,"AAAAAH/76KY=",0)</f>
        <v>0</v>
      </c>
      <c r="FL15" t="b">
        <f>AND('Individual Rope Pairs'!A20,"AAAAAH/76Kc=")</f>
        <v>1</v>
      </c>
      <c r="FM15" t="e">
        <f>AND('Individual Rope Pairs'!B20,"AAAAAH/76Kg=")</f>
        <v>#VALUE!</v>
      </c>
      <c r="FN15" t="e">
        <f>AND('Individual Rope Pairs'!C20,"AAAAAH/76Kk=")</f>
        <v>#VALUE!</v>
      </c>
      <c r="FO15" t="e">
        <f>AND('Individual Rope Pairs'!D20,"AAAAAH/76Ko=")</f>
        <v>#VALUE!</v>
      </c>
      <c r="FP15" t="e">
        <f>AND('Individual Rope Pairs'!E20,"AAAAAH/76Ks=")</f>
        <v>#VALUE!</v>
      </c>
      <c r="FQ15" t="e">
        <f>AND('Individual Rope Pairs'!F20,"AAAAAH/76Kw=")</f>
        <v>#VALUE!</v>
      </c>
      <c r="FR15" t="e">
        <f>AND('Individual Rope Pairs'!G20,"AAAAAH/76K0=")</f>
        <v>#VALUE!</v>
      </c>
      <c r="FS15" t="e">
        <f>AND('Individual Rope Pairs'!#REF!,"AAAAAH/76K4=")</f>
        <v>#REF!</v>
      </c>
      <c r="FT15" t="e">
        <f>AND('Individual Rope Pairs'!#REF!,"AAAAAH/76K8=")</f>
        <v>#REF!</v>
      </c>
      <c r="FU15" t="e">
        <f>AND('Individual Rope Pairs'!H20,"AAAAAH/76LA=")</f>
        <v>#VALUE!</v>
      </c>
      <c r="FV15" t="e">
        <f>AND('Individual Rope Pairs'!I20,"AAAAAH/76LE=")</f>
        <v>#VALUE!</v>
      </c>
      <c r="FW15" t="e">
        <f>AND('Individual Rope Pairs'!J20,"AAAAAH/76LI=")</f>
        <v>#VALUE!</v>
      </c>
      <c r="FX15" t="e">
        <f>AND('Individual Rope Pairs'!K20,"AAAAAH/76LM=")</f>
        <v>#VALUE!</v>
      </c>
      <c r="FY15">
        <f>IF('Individual Rope Pairs'!21:21,"AAAAAH/76LQ=",0)</f>
        <v>0</v>
      </c>
      <c r="FZ15" t="b">
        <f>AND('Individual Rope Pairs'!A21,"AAAAAH/76LU=")</f>
        <v>1</v>
      </c>
      <c r="GA15" t="e">
        <f>AND('Individual Rope Pairs'!B21,"AAAAAH/76LY=")</f>
        <v>#VALUE!</v>
      </c>
      <c r="GB15" t="e">
        <f>AND('Individual Rope Pairs'!C21,"AAAAAH/76Lc=")</f>
        <v>#VALUE!</v>
      </c>
      <c r="GC15" t="e">
        <f>AND('Individual Rope Pairs'!D21,"AAAAAH/76Lg=")</f>
        <v>#VALUE!</v>
      </c>
      <c r="GD15" t="e">
        <f>AND('Individual Rope Pairs'!E21,"AAAAAH/76Lk=")</f>
        <v>#VALUE!</v>
      </c>
      <c r="GE15" t="e">
        <f>AND('Individual Rope Pairs'!F21,"AAAAAH/76Lo=")</f>
        <v>#VALUE!</v>
      </c>
      <c r="GF15" t="e">
        <f>AND('Individual Rope Pairs'!G21,"AAAAAH/76Ls=")</f>
        <v>#VALUE!</v>
      </c>
      <c r="GG15" t="e">
        <f>AND('Individual Rope Pairs'!#REF!,"AAAAAH/76Lw=")</f>
        <v>#REF!</v>
      </c>
      <c r="GH15" t="e">
        <f>AND('Individual Rope Pairs'!#REF!,"AAAAAH/76L0=")</f>
        <v>#REF!</v>
      </c>
      <c r="GI15" t="e">
        <f>AND('Individual Rope Pairs'!H21,"AAAAAH/76L4=")</f>
        <v>#VALUE!</v>
      </c>
      <c r="GJ15" t="e">
        <f>AND('Individual Rope Pairs'!I21,"AAAAAH/76L8=")</f>
        <v>#VALUE!</v>
      </c>
      <c r="GK15" t="e">
        <f>AND('Individual Rope Pairs'!J21,"AAAAAH/76MA=")</f>
        <v>#VALUE!</v>
      </c>
      <c r="GL15" t="e">
        <f>AND('Individual Rope Pairs'!K21,"AAAAAH/76ME=")</f>
        <v>#VALUE!</v>
      </c>
      <c r="GM15">
        <f>IF('Individual Rope Pairs'!22:22,"AAAAAH/76MI=",0)</f>
        <v>0</v>
      </c>
      <c r="GN15" t="b">
        <f>AND('Individual Rope Pairs'!A22,"AAAAAH/76MM=")</f>
        <v>1</v>
      </c>
      <c r="GO15" t="e">
        <f>AND('Individual Rope Pairs'!B22,"AAAAAH/76MQ=")</f>
        <v>#VALUE!</v>
      </c>
      <c r="GP15" t="e">
        <f>AND('Individual Rope Pairs'!C22,"AAAAAH/76MU=")</f>
        <v>#VALUE!</v>
      </c>
      <c r="GQ15" t="e">
        <f>AND('Individual Rope Pairs'!D22,"AAAAAH/76MY=")</f>
        <v>#VALUE!</v>
      </c>
      <c r="GR15" t="e">
        <f>AND('Individual Rope Pairs'!E22,"AAAAAH/76Mc=")</f>
        <v>#VALUE!</v>
      </c>
      <c r="GS15" t="e">
        <f>AND('Individual Rope Pairs'!F22,"AAAAAH/76Mg=")</f>
        <v>#VALUE!</v>
      </c>
      <c r="GT15" t="e">
        <f>AND('Individual Rope Pairs'!G22,"AAAAAH/76Mk=")</f>
        <v>#VALUE!</v>
      </c>
      <c r="GU15" t="e">
        <f>AND('Individual Rope Pairs'!#REF!,"AAAAAH/76Mo=")</f>
        <v>#REF!</v>
      </c>
      <c r="GV15" t="e">
        <f>AND('Individual Rope Pairs'!#REF!,"AAAAAH/76Ms=")</f>
        <v>#REF!</v>
      </c>
      <c r="GW15" t="e">
        <f>AND('Individual Rope Pairs'!H22,"AAAAAH/76Mw=")</f>
        <v>#VALUE!</v>
      </c>
      <c r="GX15" t="e">
        <f>AND('Individual Rope Pairs'!I22,"AAAAAH/76M0=")</f>
        <v>#VALUE!</v>
      </c>
      <c r="GY15" t="e">
        <f>AND('Individual Rope Pairs'!J22,"AAAAAH/76M4=")</f>
        <v>#VALUE!</v>
      </c>
      <c r="GZ15" t="e">
        <f>AND('Individual Rope Pairs'!K22,"AAAAAH/76M8=")</f>
        <v>#VALUE!</v>
      </c>
      <c r="HA15">
        <f>IF('Individual Rope Pairs'!23:23,"AAAAAH/76NA=",0)</f>
        <v>0</v>
      </c>
      <c r="HB15" t="e">
        <f>AND('Individual Rope Pairs'!A23,"AAAAAH/76NE=")</f>
        <v>#VALUE!</v>
      </c>
      <c r="HC15" t="e">
        <f>AND('Individual Rope Pairs'!B23,"AAAAAH/76NI=")</f>
        <v>#VALUE!</v>
      </c>
      <c r="HD15" t="e">
        <f>AND('Individual Rope Pairs'!C23,"AAAAAH/76NM=")</f>
        <v>#VALUE!</v>
      </c>
      <c r="HE15" t="e">
        <f>AND('Individual Rope Pairs'!D23,"AAAAAH/76NQ=")</f>
        <v>#VALUE!</v>
      </c>
      <c r="HF15" t="e">
        <f>AND('Individual Rope Pairs'!E23,"AAAAAH/76NU=")</f>
        <v>#VALUE!</v>
      </c>
      <c r="HG15" t="e">
        <f>AND('Individual Rope Pairs'!F23,"AAAAAH/76NY=")</f>
        <v>#VALUE!</v>
      </c>
      <c r="HH15" t="e">
        <f>AND('Individual Rope Pairs'!G23,"AAAAAH/76Nc=")</f>
        <v>#VALUE!</v>
      </c>
      <c r="HI15" t="e">
        <f>AND('Individual Rope Pairs'!#REF!,"AAAAAH/76Ng=")</f>
        <v>#REF!</v>
      </c>
      <c r="HJ15" t="e">
        <f>AND('Individual Rope Pairs'!#REF!,"AAAAAH/76Nk=")</f>
        <v>#REF!</v>
      </c>
      <c r="HK15" t="e">
        <f>AND('Individual Rope Pairs'!H23,"AAAAAH/76No=")</f>
        <v>#VALUE!</v>
      </c>
      <c r="HL15" t="e">
        <f>AND('Individual Rope Pairs'!I23,"AAAAAH/76Ns=")</f>
        <v>#VALUE!</v>
      </c>
      <c r="HM15" t="e">
        <f>AND('Individual Rope Pairs'!J23,"AAAAAH/76Nw=")</f>
        <v>#VALUE!</v>
      </c>
      <c r="HN15" t="e">
        <f>AND('Individual Rope Pairs'!K23,"AAAAAH/76N0=")</f>
        <v>#VALUE!</v>
      </c>
      <c r="HO15">
        <f>IF('Individual Rope Pairs'!24:24,"AAAAAH/76N4=",0)</f>
        <v>0</v>
      </c>
      <c r="HP15" t="e">
        <f>AND('Individual Rope Pairs'!A24,"AAAAAH/76N8=")</f>
        <v>#VALUE!</v>
      </c>
      <c r="HQ15" t="e">
        <f>AND('Individual Rope Pairs'!B24,"AAAAAH/76OA=")</f>
        <v>#VALUE!</v>
      </c>
      <c r="HR15" t="e">
        <f>AND('Individual Rope Pairs'!C24,"AAAAAH/76OE=")</f>
        <v>#VALUE!</v>
      </c>
      <c r="HS15" t="e">
        <f>AND('Individual Rope Pairs'!D24,"AAAAAH/76OI=")</f>
        <v>#VALUE!</v>
      </c>
      <c r="HT15" t="e">
        <f>AND('Individual Rope Pairs'!E24,"AAAAAH/76OM=")</f>
        <v>#VALUE!</v>
      </c>
      <c r="HU15" t="e">
        <f>AND('Individual Rope Pairs'!F24,"AAAAAH/76OQ=")</f>
        <v>#VALUE!</v>
      </c>
      <c r="HV15" t="e">
        <f>AND('Individual Rope Pairs'!G24,"AAAAAH/76OU=")</f>
        <v>#VALUE!</v>
      </c>
      <c r="HW15" t="e">
        <f>AND('Individual Rope Pairs'!#REF!,"AAAAAH/76OY=")</f>
        <v>#REF!</v>
      </c>
      <c r="HX15" t="e">
        <f>AND('Individual Rope Pairs'!#REF!,"AAAAAH/76Oc=")</f>
        <v>#REF!</v>
      </c>
      <c r="HY15" t="e">
        <f>AND('Individual Rope Pairs'!H24,"AAAAAH/76Og=")</f>
        <v>#VALUE!</v>
      </c>
      <c r="HZ15" t="e">
        <f>AND('Individual Rope Pairs'!I24,"AAAAAH/76Ok=")</f>
        <v>#VALUE!</v>
      </c>
      <c r="IA15" t="e">
        <f>AND('Individual Rope Pairs'!J24,"AAAAAH/76Oo=")</f>
        <v>#VALUE!</v>
      </c>
      <c r="IB15" t="e">
        <f>AND('Individual Rope Pairs'!K24,"AAAAAH/76Os=")</f>
        <v>#VALUE!</v>
      </c>
      <c r="IC15">
        <f>IF('Individual Rope Pairs'!25:25,"AAAAAH/76Ow=",0)</f>
        <v>0</v>
      </c>
      <c r="ID15" t="b">
        <f>AND('Individual Rope Pairs'!A25,"AAAAAH/76O0=")</f>
        <v>1</v>
      </c>
      <c r="IE15" t="e">
        <f>AND('Individual Rope Pairs'!B25,"AAAAAH/76O4=")</f>
        <v>#VALUE!</v>
      </c>
      <c r="IF15" t="e">
        <f>AND('Individual Rope Pairs'!C25,"AAAAAH/76O8=")</f>
        <v>#VALUE!</v>
      </c>
      <c r="IG15" t="e">
        <f>AND('Individual Rope Pairs'!D25,"AAAAAH/76PA=")</f>
        <v>#VALUE!</v>
      </c>
      <c r="IH15" t="e">
        <f>AND('Individual Rope Pairs'!E25,"AAAAAH/76PE=")</f>
        <v>#VALUE!</v>
      </c>
      <c r="II15" t="e">
        <f>AND('Individual Rope Pairs'!F25,"AAAAAH/76PI=")</f>
        <v>#VALUE!</v>
      </c>
      <c r="IJ15" t="e">
        <f>AND('Individual Rope Pairs'!G25,"AAAAAH/76PM=")</f>
        <v>#VALUE!</v>
      </c>
      <c r="IK15" t="e">
        <f>AND('Individual Rope Pairs'!#REF!,"AAAAAH/76PQ=")</f>
        <v>#REF!</v>
      </c>
      <c r="IL15" t="e">
        <f>AND('Individual Rope Pairs'!#REF!,"AAAAAH/76PU=")</f>
        <v>#REF!</v>
      </c>
      <c r="IM15" t="e">
        <f>AND('Individual Rope Pairs'!H25,"AAAAAH/76PY=")</f>
        <v>#VALUE!</v>
      </c>
      <c r="IN15" t="e">
        <f>AND('Individual Rope Pairs'!I25,"AAAAAH/76Pc=")</f>
        <v>#VALUE!</v>
      </c>
      <c r="IO15" t="e">
        <f>AND('Individual Rope Pairs'!J25,"AAAAAH/76Pg=")</f>
        <v>#VALUE!</v>
      </c>
      <c r="IP15" t="e">
        <f>AND('Individual Rope Pairs'!K25,"AAAAAH/76Pk=")</f>
        <v>#VALUE!</v>
      </c>
      <c r="IQ15">
        <f>IF('Individual Rope Pairs'!26:26,"AAAAAH/76Po=",0)</f>
        <v>0</v>
      </c>
      <c r="IR15" t="b">
        <f>AND('Individual Rope Pairs'!A26,"AAAAAH/76Ps=")</f>
        <v>1</v>
      </c>
      <c r="IS15" t="e">
        <f>AND('Individual Rope Pairs'!B26,"AAAAAH/76Pw=")</f>
        <v>#VALUE!</v>
      </c>
      <c r="IT15" t="e">
        <f>AND('Individual Rope Pairs'!C26,"AAAAAH/76P0=")</f>
        <v>#VALUE!</v>
      </c>
      <c r="IU15" t="e">
        <f>AND('Individual Rope Pairs'!D26,"AAAAAH/76P4=")</f>
        <v>#VALUE!</v>
      </c>
      <c r="IV15" t="e">
        <f>AND('Individual Rope Pairs'!E26,"AAAAAH/76P8=")</f>
        <v>#VALUE!</v>
      </c>
    </row>
    <row r="16" spans="1:256" x14ac:dyDescent="0.25">
      <c r="A16" t="e">
        <f>AND('Individual Rope Pairs'!F26,"AAAAAF53UwA=")</f>
        <v>#VALUE!</v>
      </c>
      <c r="B16" t="e">
        <f>AND('Individual Rope Pairs'!G26,"AAAAAF53UwE=")</f>
        <v>#VALUE!</v>
      </c>
      <c r="C16" t="e">
        <f>AND('Individual Rope Pairs'!#REF!,"AAAAAF53UwI=")</f>
        <v>#REF!</v>
      </c>
      <c r="D16" t="e">
        <f>AND('Individual Rope Pairs'!#REF!,"AAAAAF53UwM=")</f>
        <v>#REF!</v>
      </c>
      <c r="E16" t="e">
        <f>AND('Individual Rope Pairs'!H26,"AAAAAF53UwQ=")</f>
        <v>#VALUE!</v>
      </c>
      <c r="F16" t="e">
        <f>AND('Individual Rope Pairs'!I26,"AAAAAF53UwU=")</f>
        <v>#VALUE!</v>
      </c>
      <c r="G16" t="e">
        <f>AND('Individual Rope Pairs'!J26,"AAAAAF53UwY=")</f>
        <v>#VALUE!</v>
      </c>
      <c r="H16" t="e">
        <f>AND('Individual Rope Pairs'!K26,"AAAAAF53Uwc=")</f>
        <v>#VALUE!</v>
      </c>
      <c r="I16">
        <f>IF('Individual Rope Pairs'!27:27,"AAAAAF53Uwg=",0)</f>
        <v>0</v>
      </c>
      <c r="J16" t="b">
        <f>AND('Individual Rope Pairs'!A27,"AAAAAF53Uwk=")</f>
        <v>1</v>
      </c>
      <c r="K16" t="e">
        <f>AND('Individual Rope Pairs'!B27,"AAAAAF53Uwo=")</f>
        <v>#VALUE!</v>
      </c>
      <c r="L16" t="e">
        <f>AND('Individual Rope Pairs'!C27,"AAAAAF53Uws=")</f>
        <v>#VALUE!</v>
      </c>
      <c r="M16" t="e">
        <f>AND('Individual Rope Pairs'!D27,"AAAAAF53Uww=")</f>
        <v>#VALUE!</v>
      </c>
      <c r="N16" t="e">
        <f>AND('Individual Rope Pairs'!E27,"AAAAAF53Uw0=")</f>
        <v>#VALUE!</v>
      </c>
      <c r="O16" t="e">
        <f>AND('Individual Rope Pairs'!F27,"AAAAAF53Uw4=")</f>
        <v>#VALUE!</v>
      </c>
      <c r="P16" t="e">
        <f>AND('Individual Rope Pairs'!G27,"AAAAAF53Uw8=")</f>
        <v>#VALUE!</v>
      </c>
      <c r="Q16" t="e">
        <f>AND('Individual Rope Pairs'!#REF!,"AAAAAF53UxA=")</f>
        <v>#REF!</v>
      </c>
      <c r="R16" t="e">
        <f>AND('Individual Rope Pairs'!#REF!,"AAAAAF53UxE=")</f>
        <v>#REF!</v>
      </c>
      <c r="S16" t="e">
        <f>AND('Individual Rope Pairs'!H27,"AAAAAF53UxI=")</f>
        <v>#VALUE!</v>
      </c>
      <c r="T16" t="e">
        <f>AND('Individual Rope Pairs'!I27,"AAAAAF53UxM=")</f>
        <v>#VALUE!</v>
      </c>
      <c r="U16" t="e">
        <f>AND('Individual Rope Pairs'!J27,"AAAAAF53UxQ=")</f>
        <v>#VALUE!</v>
      </c>
      <c r="V16" t="e">
        <f>AND('Individual Rope Pairs'!K27,"AAAAAF53UxU=")</f>
        <v>#VALUE!</v>
      </c>
      <c r="W16">
        <f>IF('Individual Rope Pairs'!28:28,"AAAAAF53UxY=",0)</f>
        <v>0</v>
      </c>
      <c r="X16" t="b">
        <f>AND('Individual Rope Pairs'!A28,"AAAAAF53Uxc=")</f>
        <v>1</v>
      </c>
      <c r="Y16" t="e">
        <f>AND('Individual Rope Pairs'!B28,"AAAAAF53Uxg=")</f>
        <v>#VALUE!</v>
      </c>
      <c r="Z16" t="e">
        <f>AND('Individual Rope Pairs'!C28,"AAAAAF53Uxk=")</f>
        <v>#VALUE!</v>
      </c>
      <c r="AA16" t="e">
        <f>AND('Individual Rope Pairs'!D28,"AAAAAF53Uxo=")</f>
        <v>#VALUE!</v>
      </c>
      <c r="AB16" t="e">
        <f>AND('Individual Rope Pairs'!E28,"AAAAAF53Uxs=")</f>
        <v>#VALUE!</v>
      </c>
      <c r="AC16" t="e">
        <f>AND('Individual Rope Pairs'!F28,"AAAAAF53Uxw=")</f>
        <v>#VALUE!</v>
      </c>
      <c r="AD16" t="e">
        <f>AND('Individual Rope Pairs'!G28,"AAAAAF53Ux0=")</f>
        <v>#VALUE!</v>
      </c>
      <c r="AE16" t="e">
        <f>AND('Individual Rope Pairs'!#REF!,"AAAAAF53Ux4=")</f>
        <v>#REF!</v>
      </c>
      <c r="AF16" t="e">
        <f>AND('Individual Rope Pairs'!#REF!,"AAAAAF53Ux8=")</f>
        <v>#REF!</v>
      </c>
      <c r="AG16" t="e">
        <f>AND('Individual Rope Pairs'!H28,"AAAAAF53UyA=")</f>
        <v>#VALUE!</v>
      </c>
      <c r="AH16" t="e">
        <f>AND('Individual Rope Pairs'!I28,"AAAAAF53UyE=")</f>
        <v>#VALUE!</v>
      </c>
      <c r="AI16" t="e">
        <f>AND('Individual Rope Pairs'!J28,"AAAAAF53UyI=")</f>
        <v>#VALUE!</v>
      </c>
      <c r="AJ16" t="e">
        <f>AND('Individual Rope Pairs'!K28,"AAAAAF53UyM=")</f>
        <v>#VALUE!</v>
      </c>
      <c r="AK16">
        <f>IF('Individual Rope Pairs'!29:29,"AAAAAF53UyQ=",0)</f>
        <v>0</v>
      </c>
      <c r="AL16" t="b">
        <f>AND('Individual Rope Pairs'!A29,"AAAAAF53UyU=")</f>
        <v>1</v>
      </c>
      <c r="AM16" t="e">
        <f>AND('Individual Rope Pairs'!B29,"AAAAAF53UyY=")</f>
        <v>#VALUE!</v>
      </c>
      <c r="AN16" t="e">
        <f>AND('Individual Rope Pairs'!C29,"AAAAAF53Uyc=")</f>
        <v>#VALUE!</v>
      </c>
      <c r="AO16" t="e">
        <f>AND('Individual Rope Pairs'!D29,"AAAAAF53Uyg=")</f>
        <v>#VALUE!</v>
      </c>
      <c r="AP16" t="e">
        <f>AND('Individual Rope Pairs'!E29,"AAAAAF53Uyk=")</f>
        <v>#VALUE!</v>
      </c>
      <c r="AQ16" t="e">
        <f>AND('Individual Rope Pairs'!F29,"AAAAAF53Uyo=")</f>
        <v>#VALUE!</v>
      </c>
      <c r="AR16" t="e">
        <f>AND('Individual Rope Pairs'!G29,"AAAAAF53Uys=")</f>
        <v>#VALUE!</v>
      </c>
      <c r="AS16" t="e">
        <f>AND('Individual Rope Pairs'!#REF!,"AAAAAF53Uyw=")</f>
        <v>#REF!</v>
      </c>
      <c r="AT16" t="e">
        <f>AND('Individual Rope Pairs'!#REF!,"AAAAAF53Uy0=")</f>
        <v>#REF!</v>
      </c>
      <c r="AU16" t="e">
        <f>AND('Individual Rope Pairs'!H29,"AAAAAF53Uy4=")</f>
        <v>#VALUE!</v>
      </c>
      <c r="AV16" t="e">
        <f>AND('Individual Rope Pairs'!I29,"AAAAAF53Uy8=")</f>
        <v>#VALUE!</v>
      </c>
      <c r="AW16" t="e">
        <f>AND('Individual Rope Pairs'!J29,"AAAAAF53UzA=")</f>
        <v>#VALUE!</v>
      </c>
      <c r="AX16" t="e">
        <f>AND('Individual Rope Pairs'!K29,"AAAAAF53UzE=")</f>
        <v>#VALUE!</v>
      </c>
      <c r="AY16">
        <f>IF('Individual Rope Pairs'!30:30,"AAAAAF53UzI=",0)</f>
        <v>0</v>
      </c>
      <c r="AZ16" t="b">
        <f>AND('Individual Rope Pairs'!A30,"AAAAAF53UzM=")</f>
        <v>1</v>
      </c>
      <c r="BA16" t="e">
        <f>AND('Individual Rope Pairs'!B30,"AAAAAF53UzQ=")</f>
        <v>#VALUE!</v>
      </c>
      <c r="BB16" t="e">
        <f>AND('Individual Rope Pairs'!C30,"AAAAAF53UzU=")</f>
        <v>#VALUE!</v>
      </c>
      <c r="BC16" t="e">
        <f>AND('Individual Rope Pairs'!D30,"AAAAAF53UzY=")</f>
        <v>#VALUE!</v>
      </c>
      <c r="BD16" t="e">
        <f>AND('Individual Rope Pairs'!E30,"AAAAAF53Uzc=")</f>
        <v>#VALUE!</v>
      </c>
      <c r="BE16" t="e">
        <f>AND('Individual Rope Pairs'!F30,"AAAAAF53Uzg=")</f>
        <v>#VALUE!</v>
      </c>
      <c r="BF16" t="e">
        <f>AND('Individual Rope Pairs'!G30,"AAAAAF53Uzk=")</f>
        <v>#VALUE!</v>
      </c>
      <c r="BG16" t="e">
        <f>AND('Individual Rope Pairs'!#REF!,"AAAAAF53Uzo=")</f>
        <v>#REF!</v>
      </c>
      <c r="BH16" t="e">
        <f>AND('Individual Rope Pairs'!#REF!,"AAAAAF53Uzs=")</f>
        <v>#REF!</v>
      </c>
      <c r="BI16" t="e">
        <f>AND('Individual Rope Pairs'!H30,"AAAAAF53Uzw=")</f>
        <v>#VALUE!</v>
      </c>
      <c r="BJ16" t="e">
        <f>AND('Individual Rope Pairs'!I30,"AAAAAF53Uz0=")</f>
        <v>#VALUE!</v>
      </c>
      <c r="BK16" t="e">
        <f>AND('Individual Rope Pairs'!J30,"AAAAAF53Uz4=")</f>
        <v>#VALUE!</v>
      </c>
      <c r="BL16" t="e">
        <f>AND('Individual Rope Pairs'!K30,"AAAAAF53Uz8=")</f>
        <v>#VALUE!</v>
      </c>
      <c r="BM16">
        <f>IF('Individual Rope Pairs'!31:31,"AAAAAF53U0A=",0)</f>
        <v>0</v>
      </c>
      <c r="BN16" t="b">
        <f>AND('Individual Rope Pairs'!A31,"AAAAAF53U0E=")</f>
        <v>1</v>
      </c>
      <c r="BO16" t="e">
        <f>AND('Individual Rope Pairs'!B31,"AAAAAF53U0I=")</f>
        <v>#VALUE!</v>
      </c>
      <c r="BP16" t="e">
        <f>AND('Individual Rope Pairs'!C31,"AAAAAF53U0M=")</f>
        <v>#VALUE!</v>
      </c>
      <c r="BQ16" t="e">
        <f>AND('Individual Rope Pairs'!D31,"AAAAAF53U0Q=")</f>
        <v>#VALUE!</v>
      </c>
      <c r="BR16" t="e">
        <f>AND('Individual Rope Pairs'!E31,"AAAAAF53U0U=")</f>
        <v>#VALUE!</v>
      </c>
      <c r="BS16" t="e">
        <f>AND('Individual Rope Pairs'!F31,"AAAAAF53U0Y=")</f>
        <v>#VALUE!</v>
      </c>
      <c r="BT16" t="e">
        <f>AND('Individual Rope Pairs'!G31,"AAAAAF53U0c=")</f>
        <v>#VALUE!</v>
      </c>
      <c r="BU16" t="e">
        <f>AND('Individual Rope Pairs'!#REF!,"AAAAAF53U0g=")</f>
        <v>#REF!</v>
      </c>
      <c r="BV16" t="e">
        <f>AND('Individual Rope Pairs'!#REF!,"AAAAAF53U0k=")</f>
        <v>#REF!</v>
      </c>
      <c r="BW16" t="e">
        <f>AND('Individual Rope Pairs'!H31,"AAAAAF53U0o=")</f>
        <v>#VALUE!</v>
      </c>
      <c r="BX16" t="e">
        <f>AND('Individual Rope Pairs'!I31,"AAAAAF53U0s=")</f>
        <v>#VALUE!</v>
      </c>
      <c r="BY16" t="e">
        <f>AND('Individual Rope Pairs'!J31,"AAAAAF53U0w=")</f>
        <v>#VALUE!</v>
      </c>
      <c r="BZ16" t="e">
        <f>AND('Individual Rope Pairs'!K31,"AAAAAF53U00=")</f>
        <v>#VALUE!</v>
      </c>
      <c r="CA16">
        <f>IF('Individual Rope Pairs'!32:32,"AAAAAF53U04=",0)</f>
        <v>0</v>
      </c>
      <c r="CB16" t="b">
        <f>AND('Individual Rope Pairs'!A32,"AAAAAF53U08=")</f>
        <v>1</v>
      </c>
      <c r="CC16" t="e">
        <f>AND('Individual Rope Pairs'!B32,"AAAAAF53U1A=")</f>
        <v>#VALUE!</v>
      </c>
      <c r="CD16" t="e">
        <f>AND('Individual Rope Pairs'!C32,"AAAAAF53U1E=")</f>
        <v>#VALUE!</v>
      </c>
      <c r="CE16" t="e">
        <f>AND('Individual Rope Pairs'!D32,"AAAAAF53U1I=")</f>
        <v>#VALUE!</v>
      </c>
      <c r="CF16" t="e">
        <f>AND('Individual Rope Pairs'!E32,"AAAAAF53U1M=")</f>
        <v>#VALUE!</v>
      </c>
      <c r="CG16" t="e">
        <f>AND('Individual Rope Pairs'!F32,"AAAAAF53U1Q=")</f>
        <v>#VALUE!</v>
      </c>
      <c r="CH16" t="e">
        <f>AND('Individual Rope Pairs'!G32,"AAAAAF53U1U=")</f>
        <v>#VALUE!</v>
      </c>
      <c r="CI16" t="e">
        <f>AND('Individual Rope Pairs'!#REF!,"AAAAAF53U1Y=")</f>
        <v>#REF!</v>
      </c>
      <c r="CJ16" t="e">
        <f>AND('Individual Rope Pairs'!#REF!,"AAAAAF53U1c=")</f>
        <v>#REF!</v>
      </c>
      <c r="CK16" t="e">
        <f>AND('Individual Rope Pairs'!H32,"AAAAAF53U1g=")</f>
        <v>#VALUE!</v>
      </c>
      <c r="CL16" t="e">
        <f>AND('Individual Rope Pairs'!I32,"AAAAAF53U1k=")</f>
        <v>#VALUE!</v>
      </c>
      <c r="CM16" t="e">
        <f>AND('Individual Rope Pairs'!J32,"AAAAAF53U1o=")</f>
        <v>#VALUE!</v>
      </c>
      <c r="CN16" t="e">
        <f>AND('Individual Rope Pairs'!K32,"AAAAAF53U1s=")</f>
        <v>#VALUE!</v>
      </c>
      <c r="CO16">
        <f>IF('Individual Rope Pairs'!33:33,"AAAAAF53U1w=",0)</f>
        <v>0</v>
      </c>
      <c r="CP16" t="e">
        <f>AND('Individual Rope Pairs'!A33,"AAAAAF53U10=")</f>
        <v>#VALUE!</v>
      </c>
      <c r="CQ16" t="e">
        <f>AND('Individual Rope Pairs'!B33,"AAAAAF53U14=")</f>
        <v>#VALUE!</v>
      </c>
      <c r="CR16" t="e">
        <f>AND('Individual Rope Pairs'!C33,"AAAAAF53U18=")</f>
        <v>#VALUE!</v>
      </c>
      <c r="CS16" t="e">
        <f>AND('Individual Rope Pairs'!D33,"AAAAAF53U2A=")</f>
        <v>#VALUE!</v>
      </c>
      <c r="CT16" t="e">
        <f>AND('Individual Rope Pairs'!E33,"AAAAAF53U2E=")</f>
        <v>#VALUE!</v>
      </c>
      <c r="CU16" t="e">
        <f>AND('Individual Rope Pairs'!F33,"AAAAAF53U2I=")</f>
        <v>#VALUE!</v>
      </c>
      <c r="CV16" t="e">
        <f>AND('Individual Rope Pairs'!G33,"AAAAAF53U2M=")</f>
        <v>#VALUE!</v>
      </c>
      <c r="CW16" t="e">
        <f>AND('Individual Rope Pairs'!#REF!,"AAAAAF53U2Q=")</f>
        <v>#REF!</v>
      </c>
      <c r="CX16" t="e">
        <f>AND('Individual Rope Pairs'!#REF!,"AAAAAF53U2U=")</f>
        <v>#REF!</v>
      </c>
      <c r="CY16" t="e">
        <f>AND('Individual Rope Pairs'!H33,"AAAAAF53U2Y=")</f>
        <v>#VALUE!</v>
      </c>
      <c r="CZ16" t="e">
        <f>AND('Individual Rope Pairs'!I33,"AAAAAF53U2c=")</f>
        <v>#VALUE!</v>
      </c>
      <c r="DA16" t="e">
        <f>AND('Individual Rope Pairs'!J33,"AAAAAF53U2g=")</f>
        <v>#VALUE!</v>
      </c>
      <c r="DB16" t="e">
        <f>AND('Individual Rope Pairs'!K33,"AAAAAF53U2k=")</f>
        <v>#VALUE!</v>
      </c>
      <c r="DC16">
        <f>IF('Individual Rope Pairs'!34:34,"AAAAAF53U2o=",0)</f>
        <v>0</v>
      </c>
      <c r="DD16" t="e">
        <f>AND('Individual Rope Pairs'!A34,"AAAAAF53U2s=")</f>
        <v>#VALUE!</v>
      </c>
      <c r="DE16" t="e">
        <f>AND('Individual Rope Pairs'!B34,"AAAAAF53U2w=")</f>
        <v>#VALUE!</v>
      </c>
      <c r="DF16" t="e">
        <f>AND('Individual Rope Pairs'!C34,"AAAAAF53U20=")</f>
        <v>#VALUE!</v>
      </c>
      <c r="DG16" t="e">
        <f>AND('Individual Rope Pairs'!D34,"AAAAAF53U24=")</f>
        <v>#VALUE!</v>
      </c>
      <c r="DH16" t="e">
        <f>AND('Individual Rope Pairs'!E34,"AAAAAF53U28=")</f>
        <v>#VALUE!</v>
      </c>
      <c r="DI16" t="e">
        <f>AND('Individual Rope Pairs'!F34,"AAAAAF53U3A=")</f>
        <v>#VALUE!</v>
      </c>
      <c r="DJ16" t="e">
        <f>AND('Individual Rope Pairs'!G34,"AAAAAF53U3E=")</f>
        <v>#VALUE!</v>
      </c>
      <c r="DK16" t="e">
        <f>AND('Individual Rope Pairs'!#REF!,"AAAAAF53U3I=")</f>
        <v>#REF!</v>
      </c>
      <c r="DL16" t="e">
        <f>AND('Individual Rope Pairs'!#REF!,"AAAAAF53U3M=")</f>
        <v>#REF!</v>
      </c>
      <c r="DM16" t="e">
        <f>AND('Individual Rope Pairs'!H34,"AAAAAF53U3Q=")</f>
        <v>#VALUE!</v>
      </c>
      <c r="DN16" t="e">
        <f>AND('Individual Rope Pairs'!I34,"AAAAAF53U3U=")</f>
        <v>#VALUE!</v>
      </c>
      <c r="DO16" t="e">
        <f>AND('Individual Rope Pairs'!J34,"AAAAAF53U3Y=")</f>
        <v>#VALUE!</v>
      </c>
      <c r="DP16" t="e">
        <f>AND('Individual Rope Pairs'!K34,"AAAAAF53U3c=")</f>
        <v>#VALUE!</v>
      </c>
      <c r="DQ16">
        <f>IF('Individual Rope Pairs'!35:35,"AAAAAF53U3g=",0)</f>
        <v>0</v>
      </c>
      <c r="DR16" t="b">
        <f>AND('Individual Rope Pairs'!A35,"AAAAAF53U3k=")</f>
        <v>1</v>
      </c>
      <c r="DS16" t="e">
        <f>AND('Individual Rope Pairs'!B35,"AAAAAF53U3o=")</f>
        <v>#VALUE!</v>
      </c>
      <c r="DT16" t="e">
        <f>AND('Individual Rope Pairs'!C35,"AAAAAF53U3s=")</f>
        <v>#VALUE!</v>
      </c>
      <c r="DU16" t="e">
        <f>AND('Individual Rope Pairs'!D35,"AAAAAF53U3w=")</f>
        <v>#VALUE!</v>
      </c>
      <c r="DV16" t="e">
        <f>AND('Individual Rope Pairs'!E35,"AAAAAF53U30=")</f>
        <v>#VALUE!</v>
      </c>
      <c r="DW16" t="e">
        <f>AND('Individual Rope Pairs'!F35,"AAAAAF53U34=")</f>
        <v>#VALUE!</v>
      </c>
      <c r="DX16" t="e">
        <f>AND('Individual Rope Pairs'!G35,"AAAAAF53U38=")</f>
        <v>#VALUE!</v>
      </c>
      <c r="DY16" t="e">
        <f>AND('Individual Rope Pairs'!#REF!,"AAAAAF53U4A=")</f>
        <v>#REF!</v>
      </c>
      <c r="DZ16" t="e">
        <f>AND('Individual Rope Pairs'!#REF!,"AAAAAF53U4E=")</f>
        <v>#REF!</v>
      </c>
      <c r="EA16" t="e">
        <f>AND('Individual Rope Pairs'!H35,"AAAAAF53U4I=")</f>
        <v>#VALUE!</v>
      </c>
      <c r="EB16" t="e">
        <f>AND('Individual Rope Pairs'!I35,"AAAAAF53U4M=")</f>
        <v>#VALUE!</v>
      </c>
      <c r="EC16" t="e">
        <f>AND('Individual Rope Pairs'!J35,"AAAAAF53U4Q=")</f>
        <v>#VALUE!</v>
      </c>
      <c r="ED16" t="e">
        <f>AND('Individual Rope Pairs'!K35,"AAAAAF53U4U=")</f>
        <v>#VALUE!</v>
      </c>
      <c r="EE16">
        <f>IF('Individual Rope Pairs'!36:36,"AAAAAF53U4Y=",0)</f>
        <v>0</v>
      </c>
      <c r="EF16" t="b">
        <f>AND('Individual Rope Pairs'!A36,"AAAAAF53U4c=")</f>
        <v>1</v>
      </c>
      <c r="EG16" t="e">
        <f>AND('Individual Rope Pairs'!B36,"AAAAAF53U4g=")</f>
        <v>#VALUE!</v>
      </c>
      <c r="EH16" t="e">
        <f>AND('Individual Rope Pairs'!C36,"AAAAAF53U4k=")</f>
        <v>#VALUE!</v>
      </c>
      <c r="EI16" t="e">
        <f>AND('Individual Rope Pairs'!D36,"AAAAAF53U4o=")</f>
        <v>#VALUE!</v>
      </c>
      <c r="EJ16" t="e">
        <f>AND('Individual Rope Pairs'!E36,"AAAAAF53U4s=")</f>
        <v>#VALUE!</v>
      </c>
      <c r="EK16" t="e">
        <f>AND('Individual Rope Pairs'!F36,"AAAAAF53U4w=")</f>
        <v>#VALUE!</v>
      </c>
      <c r="EL16" t="e">
        <f>AND('Individual Rope Pairs'!G36,"AAAAAF53U40=")</f>
        <v>#VALUE!</v>
      </c>
      <c r="EM16" t="e">
        <f>AND('Individual Rope Pairs'!#REF!,"AAAAAF53U44=")</f>
        <v>#REF!</v>
      </c>
      <c r="EN16" t="e">
        <f>AND('Individual Rope Pairs'!#REF!,"AAAAAF53U48=")</f>
        <v>#REF!</v>
      </c>
      <c r="EO16" t="e">
        <f>AND('Individual Rope Pairs'!H36,"AAAAAF53U5A=")</f>
        <v>#VALUE!</v>
      </c>
      <c r="EP16" t="e">
        <f>AND('Individual Rope Pairs'!I36,"AAAAAF53U5E=")</f>
        <v>#VALUE!</v>
      </c>
      <c r="EQ16" t="e">
        <f>AND('Individual Rope Pairs'!J36,"AAAAAF53U5I=")</f>
        <v>#VALUE!</v>
      </c>
      <c r="ER16" t="e">
        <f>AND('Individual Rope Pairs'!K36,"AAAAAF53U5M=")</f>
        <v>#VALUE!</v>
      </c>
      <c r="ES16">
        <f>IF('Individual Rope Pairs'!37:37,"AAAAAF53U5Q=",0)</f>
        <v>0</v>
      </c>
      <c r="ET16" t="b">
        <f>AND('Individual Rope Pairs'!A37,"AAAAAF53U5U=")</f>
        <v>1</v>
      </c>
      <c r="EU16" t="e">
        <f>AND('Individual Rope Pairs'!B37,"AAAAAF53U5Y=")</f>
        <v>#VALUE!</v>
      </c>
      <c r="EV16" t="e">
        <f>AND('Individual Rope Pairs'!C37,"AAAAAF53U5c=")</f>
        <v>#VALUE!</v>
      </c>
      <c r="EW16" t="e">
        <f>AND('Individual Rope Pairs'!D37,"AAAAAF53U5g=")</f>
        <v>#VALUE!</v>
      </c>
      <c r="EX16" t="e">
        <f>AND('Individual Rope Pairs'!E37,"AAAAAF53U5k=")</f>
        <v>#VALUE!</v>
      </c>
      <c r="EY16" t="e">
        <f>AND('Individual Rope Pairs'!F37,"AAAAAF53U5o=")</f>
        <v>#VALUE!</v>
      </c>
      <c r="EZ16" t="e">
        <f>AND('Individual Rope Pairs'!G37,"AAAAAF53U5s=")</f>
        <v>#VALUE!</v>
      </c>
      <c r="FA16" t="e">
        <f>AND('Individual Rope Pairs'!#REF!,"AAAAAF53U5w=")</f>
        <v>#REF!</v>
      </c>
      <c r="FB16" t="e">
        <f>AND('Individual Rope Pairs'!#REF!,"AAAAAF53U50=")</f>
        <v>#REF!</v>
      </c>
      <c r="FC16" t="e">
        <f>AND('Individual Rope Pairs'!H37,"AAAAAF53U54=")</f>
        <v>#VALUE!</v>
      </c>
      <c r="FD16" t="e">
        <f>AND('Individual Rope Pairs'!I37,"AAAAAF53U58=")</f>
        <v>#VALUE!</v>
      </c>
      <c r="FE16" t="e">
        <f>AND('Individual Rope Pairs'!J37,"AAAAAF53U6A=")</f>
        <v>#VALUE!</v>
      </c>
      <c r="FF16" t="e">
        <f>AND('Individual Rope Pairs'!K37,"AAAAAF53U6E=")</f>
        <v>#VALUE!</v>
      </c>
      <c r="FG16">
        <f>IF('Individual Rope Pairs'!38:38,"AAAAAF53U6I=",0)</f>
        <v>0</v>
      </c>
      <c r="FH16" t="b">
        <f>AND('Individual Rope Pairs'!A38,"AAAAAF53U6M=")</f>
        <v>1</v>
      </c>
      <c r="FI16" t="e">
        <f>AND('Individual Rope Pairs'!B38,"AAAAAF53U6Q=")</f>
        <v>#VALUE!</v>
      </c>
      <c r="FJ16" t="e">
        <f>AND('Individual Rope Pairs'!C38,"AAAAAF53U6U=")</f>
        <v>#VALUE!</v>
      </c>
      <c r="FK16" t="e">
        <f>AND('Individual Rope Pairs'!D38,"AAAAAF53U6Y=")</f>
        <v>#VALUE!</v>
      </c>
      <c r="FL16" t="e">
        <f>AND('Individual Rope Pairs'!E38,"AAAAAF53U6c=")</f>
        <v>#VALUE!</v>
      </c>
      <c r="FM16" t="e">
        <f>AND('Individual Rope Pairs'!F38,"AAAAAF53U6g=")</f>
        <v>#VALUE!</v>
      </c>
      <c r="FN16" t="e">
        <f>AND('Individual Rope Pairs'!G38,"AAAAAF53U6k=")</f>
        <v>#VALUE!</v>
      </c>
      <c r="FO16" t="e">
        <f>AND('Individual Rope Pairs'!#REF!,"AAAAAF53U6o=")</f>
        <v>#REF!</v>
      </c>
      <c r="FP16" t="e">
        <f>AND('Individual Rope Pairs'!#REF!,"AAAAAF53U6s=")</f>
        <v>#REF!</v>
      </c>
      <c r="FQ16" t="e">
        <f>AND('Individual Rope Pairs'!H38,"AAAAAF53U6w=")</f>
        <v>#VALUE!</v>
      </c>
      <c r="FR16" t="e">
        <f>AND('Individual Rope Pairs'!I38,"AAAAAF53U60=")</f>
        <v>#VALUE!</v>
      </c>
      <c r="FS16" t="e">
        <f>AND('Individual Rope Pairs'!J38,"AAAAAF53U64=")</f>
        <v>#VALUE!</v>
      </c>
      <c r="FT16" t="e">
        <f>AND('Individual Rope Pairs'!K38,"AAAAAF53U68=")</f>
        <v>#VALUE!</v>
      </c>
      <c r="FU16">
        <f>IF('Individual Rope Pairs'!39:39,"AAAAAF53U7A=",0)</f>
        <v>0</v>
      </c>
      <c r="FV16" t="b">
        <f>AND('Individual Rope Pairs'!A39,"AAAAAF53U7E=")</f>
        <v>1</v>
      </c>
      <c r="FW16" t="e">
        <f>AND('Individual Rope Pairs'!B39,"AAAAAF53U7I=")</f>
        <v>#VALUE!</v>
      </c>
      <c r="FX16" t="e">
        <f>AND('Individual Rope Pairs'!C39,"AAAAAF53U7M=")</f>
        <v>#VALUE!</v>
      </c>
      <c r="FY16" t="e">
        <f>AND('Individual Rope Pairs'!D39,"AAAAAF53U7Q=")</f>
        <v>#VALUE!</v>
      </c>
      <c r="FZ16" t="e">
        <f>AND('Individual Rope Pairs'!E39,"AAAAAF53U7U=")</f>
        <v>#VALUE!</v>
      </c>
      <c r="GA16" t="e">
        <f>AND('Individual Rope Pairs'!F39,"AAAAAF53U7Y=")</f>
        <v>#VALUE!</v>
      </c>
      <c r="GB16" t="e">
        <f>AND('Individual Rope Pairs'!G39,"AAAAAF53U7c=")</f>
        <v>#VALUE!</v>
      </c>
      <c r="GC16" t="e">
        <f>AND('Individual Rope Pairs'!#REF!,"AAAAAF53U7g=")</f>
        <v>#REF!</v>
      </c>
      <c r="GD16" t="e">
        <f>AND('Individual Rope Pairs'!#REF!,"AAAAAF53U7k=")</f>
        <v>#REF!</v>
      </c>
      <c r="GE16" t="e">
        <f>AND('Individual Rope Pairs'!H39,"AAAAAF53U7o=")</f>
        <v>#VALUE!</v>
      </c>
      <c r="GF16" t="e">
        <f>AND('Individual Rope Pairs'!I39,"AAAAAF53U7s=")</f>
        <v>#VALUE!</v>
      </c>
      <c r="GG16" t="e">
        <f>AND('Individual Rope Pairs'!J39,"AAAAAF53U7w=")</f>
        <v>#VALUE!</v>
      </c>
      <c r="GH16" t="e">
        <f>AND('Individual Rope Pairs'!K39,"AAAAAF53U70=")</f>
        <v>#VALUE!</v>
      </c>
      <c r="GI16">
        <f>IF('Individual Rope Pairs'!40:40,"AAAAAF53U74=",0)</f>
        <v>0</v>
      </c>
      <c r="GJ16" t="b">
        <f>AND('Individual Rope Pairs'!A40,"AAAAAF53U78=")</f>
        <v>1</v>
      </c>
      <c r="GK16" t="e">
        <f>AND('Individual Rope Pairs'!B40,"AAAAAF53U8A=")</f>
        <v>#VALUE!</v>
      </c>
      <c r="GL16" t="e">
        <f>AND('Individual Rope Pairs'!C40,"AAAAAF53U8E=")</f>
        <v>#VALUE!</v>
      </c>
      <c r="GM16" t="e">
        <f>AND('Individual Rope Pairs'!D40,"AAAAAF53U8I=")</f>
        <v>#VALUE!</v>
      </c>
      <c r="GN16" t="e">
        <f>AND('Individual Rope Pairs'!E40,"AAAAAF53U8M=")</f>
        <v>#VALUE!</v>
      </c>
      <c r="GO16" t="e">
        <f>AND('Individual Rope Pairs'!F40,"AAAAAF53U8Q=")</f>
        <v>#VALUE!</v>
      </c>
      <c r="GP16" t="e">
        <f>AND('Individual Rope Pairs'!G40,"AAAAAF53U8U=")</f>
        <v>#VALUE!</v>
      </c>
      <c r="GQ16" t="e">
        <f>AND('Individual Rope Pairs'!#REF!,"AAAAAF53U8Y=")</f>
        <v>#REF!</v>
      </c>
      <c r="GR16" t="e">
        <f>AND('Individual Rope Pairs'!#REF!,"AAAAAF53U8c=")</f>
        <v>#REF!</v>
      </c>
      <c r="GS16" t="e">
        <f>AND('Individual Rope Pairs'!H40,"AAAAAF53U8g=")</f>
        <v>#VALUE!</v>
      </c>
      <c r="GT16" t="e">
        <f>AND('Individual Rope Pairs'!I40,"AAAAAF53U8k=")</f>
        <v>#VALUE!</v>
      </c>
      <c r="GU16" t="e">
        <f>AND('Individual Rope Pairs'!J40,"AAAAAF53U8o=")</f>
        <v>#VALUE!</v>
      </c>
      <c r="GV16" t="e">
        <f>AND('Individual Rope Pairs'!K40,"AAAAAF53U8s=")</f>
        <v>#VALUE!</v>
      </c>
      <c r="GW16">
        <f>IF('Individual Rope Pairs'!41:41,"AAAAAF53U8w=",0)</f>
        <v>0</v>
      </c>
      <c r="GX16" t="b">
        <f>AND('Individual Rope Pairs'!A41,"AAAAAF53U80=")</f>
        <v>1</v>
      </c>
      <c r="GY16" t="e">
        <f>AND('Individual Rope Pairs'!B41,"AAAAAF53U84=")</f>
        <v>#VALUE!</v>
      </c>
      <c r="GZ16" t="e">
        <f>AND('Individual Rope Pairs'!C41,"AAAAAF53U88=")</f>
        <v>#VALUE!</v>
      </c>
      <c r="HA16" t="e">
        <f>AND('Individual Rope Pairs'!D41,"AAAAAF53U9A=")</f>
        <v>#VALUE!</v>
      </c>
      <c r="HB16" t="e">
        <f>AND('Individual Rope Pairs'!E41,"AAAAAF53U9E=")</f>
        <v>#VALUE!</v>
      </c>
      <c r="HC16" t="e">
        <f>AND('Individual Rope Pairs'!F41,"AAAAAF53U9I=")</f>
        <v>#VALUE!</v>
      </c>
      <c r="HD16" t="e">
        <f>AND('Individual Rope Pairs'!G41,"AAAAAF53U9M=")</f>
        <v>#VALUE!</v>
      </c>
      <c r="HE16" t="e">
        <f>AND('Individual Rope Pairs'!#REF!,"AAAAAF53U9Q=")</f>
        <v>#REF!</v>
      </c>
      <c r="HF16" t="e">
        <f>AND('Individual Rope Pairs'!#REF!,"AAAAAF53U9U=")</f>
        <v>#REF!</v>
      </c>
      <c r="HG16" t="e">
        <f>AND('Individual Rope Pairs'!H41,"AAAAAF53U9Y=")</f>
        <v>#VALUE!</v>
      </c>
      <c r="HH16" t="e">
        <f>AND('Individual Rope Pairs'!I41,"AAAAAF53U9c=")</f>
        <v>#VALUE!</v>
      </c>
      <c r="HI16" t="e">
        <f>AND('Individual Rope Pairs'!J41,"AAAAAF53U9g=")</f>
        <v>#VALUE!</v>
      </c>
      <c r="HJ16" t="e">
        <f>AND('Individual Rope Pairs'!K41,"AAAAAF53U9k=")</f>
        <v>#VALUE!</v>
      </c>
      <c r="HK16">
        <f>IF('Individual Rope Pairs'!42:42,"AAAAAF53U9o=",0)</f>
        <v>0</v>
      </c>
      <c r="HL16" t="b">
        <f>AND('Individual Rope Pairs'!A42,"AAAAAF53U9s=")</f>
        <v>1</v>
      </c>
      <c r="HM16" t="e">
        <f>AND('Individual Rope Pairs'!B42,"AAAAAF53U9w=")</f>
        <v>#VALUE!</v>
      </c>
      <c r="HN16" t="e">
        <f>AND('Individual Rope Pairs'!C42,"AAAAAF53U90=")</f>
        <v>#VALUE!</v>
      </c>
      <c r="HO16" t="e">
        <f>AND('Individual Rope Pairs'!D42,"AAAAAF53U94=")</f>
        <v>#VALUE!</v>
      </c>
      <c r="HP16" t="e">
        <f>AND('Individual Rope Pairs'!E42,"AAAAAF53U98=")</f>
        <v>#VALUE!</v>
      </c>
      <c r="HQ16" t="e">
        <f>AND('Individual Rope Pairs'!F42,"AAAAAF53U+A=")</f>
        <v>#VALUE!</v>
      </c>
      <c r="HR16" t="e">
        <f>AND('Individual Rope Pairs'!G42,"AAAAAF53U+E=")</f>
        <v>#VALUE!</v>
      </c>
      <c r="HS16" t="e">
        <f>AND('Individual Rope Pairs'!#REF!,"AAAAAF53U+I=")</f>
        <v>#REF!</v>
      </c>
      <c r="HT16" t="e">
        <f>AND('Individual Rope Pairs'!#REF!,"AAAAAF53U+M=")</f>
        <v>#REF!</v>
      </c>
      <c r="HU16" t="e">
        <f>AND('Individual Rope Pairs'!H42,"AAAAAF53U+Q=")</f>
        <v>#VALUE!</v>
      </c>
      <c r="HV16" t="e">
        <f>AND('Individual Rope Pairs'!I42,"AAAAAF53U+U=")</f>
        <v>#VALUE!</v>
      </c>
      <c r="HW16" t="e">
        <f>AND('Individual Rope Pairs'!J42,"AAAAAF53U+Y=")</f>
        <v>#VALUE!</v>
      </c>
      <c r="HX16" t="e">
        <f>AND('Individual Rope Pairs'!K42,"AAAAAF53U+c=")</f>
        <v>#VALUE!</v>
      </c>
      <c r="HY16">
        <f>IF('Individual Rope Pairs'!43:43,"AAAAAF53U+g=",0)</f>
        <v>0</v>
      </c>
      <c r="HZ16" t="e">
        <f>AND('Individual Rope Pairs'!A43,"AAAAAF53U+k=")</f>
        <v>#VALUE!</v>
      </c>
      <c r="IA16" t="e">
        <f>AND('Individual Rope Pairs'!B43,"AAAAAF53U+o=")</f>
        <v>#VALUE!</v>
      </c>
      <c r="IB16" t="e">
        <f>AND('Individual Rope Pairs'!C43,"AAAAAF53U+s=")</f>
        <v>#VALUE!</v>
      </c>
      <c r="IC16" t="e">
        <f>AND('Individual Rope Pairs'!D43,"AAAAAF53U+w=")</f>
        <v>#VALUE!</v>
      </c>
      <c r="ID16" t="e">
        <f>AND('Individual Rope Pairs'!E43,"AAAAAF53U+0=")</f>
        <v>#VALUE!</v>
      </c>
      <c r="IE16" t="e">
        <f>AND('Individual Rope Pairs'!F43,"AAAAAF53U+4=")</f>
        <v>#VALUE!</v>
      </c>
      <c r="IF16" t="e">
        <f>AND('Individual Rope Pairs'!G43,"AAAAAF53U+8=")</f>
        <v>#VALUE!</v>
      </c>
      <c r="IG16" t="e">
        <f>AND('Individual Rope Pairs'!#REF!,"AAAAAF53U/A=")</f>
        <v>#REF!</v>
      </c>
      <c r="IH16" t="e">
        <f>AND('Individual Rope Pairs'!#REF!,"AAAAAF53U/E=")</f>
        <v>#REF!</v>
      </c>
      <c r="II16" t="e">
        <f>AND('Individual Rope Pairs'!H43,"AAAAAF53U/I=")</f>
        <v>#VALUE!</v>
      </c>
      <c r="IJ16" t="e">
        <f>AND('Individual Rope Pairs'!I43,"AAAAAF53U/M=")</f>
        <v>#VALUE!</v>
      </c>
      <c r="IK16" t="e">
        <f>AND('Individual Rope Pairs'!J43,"AAAAAF53U/Q=")</f>
        <v>#VALUE!</v>
      </c>
      <c r="IL16" t="e">
        <f>AND('Individual Rope Pairs'!K43,"AAAAAF53U/U=")</f>
        <v>#VALUE!</v>
      </c>
      <c r="IM16">
        <f>IF('Individual Rope Pairs'!44:44,"AAAAAF53U/Y=",0)</f>
        <v>0</v>
      </c>
      <c r="IN16" t="e">
        <f>AND('Individual Rope Pairs'!A44,"AAAAAF53U/c=")</f>
        <v>#VALUE!</v>
      </c>
      <c r="IO16" t="e">
        <f>AND('Individual Rope Pairs'!B44,"AAAAAF53U/g=")</f>
        <v>#VALUE!</v>
      </c>
      <c r="IP16" t="e">
        <f>AND('Individual Rope Pairs'!C44,"AAAAAF53U/k=")</f>
        <v>#VALUE!</v>
      </c>
      <c r="IQ16" t="e">
        <f>AND('Individual Rope Pairs'!D44,"AAAAAF53U/o=")</f>
        <v>#VALUE!</v>
      </c>
      <c r="IR16" t="e">
        <f>AND('Individual Rope Pairs'!E44,"AAAAAF53U/s=")</f>
        <v>#VALUE!</v>
      </c>
      <c r="IS16" t="e">
        <f>AND('Individual Rope Pairs'!F44,"AAAAAF53U/w=")</f>
        <v>#VALUE!</v>
      </c>
      <c r="IT16" t="e">
        <f>AND('Individual Rope Pairs'!G44,"AAAAAF53U/0=")</f>
        <v>#VALUE!</v>
      </c>
      <c r="IU16" t="e">
        <f>AND('Individual Rope Pairs'!#REF!,"AAAAAF53U/4=")</f>
        <v>#REF!</v>
      </c>
      <c r="IV16" t="e">
        <f>AND('Individual Rope Pairs'!#REF!,"AAAAAF53U/8=")</f>
        <v>#REF!</v>
      </c>
    </row>
    <row r="17" spans="1:256" x14ac:dyDescent="0.25">
      <c r="A17" t="e">
        <f>AND('Individual Rope Pairs'!H44,"AAAAAF/z/QA=")</f>
        <v>#VALUE!</v>
      </c>
      <c r="B17" t="e">
        <f>AND('Individual Rope Pairs'!I44,"AAAAAF/z/QE=")</f>
        <v>#VALUE!</v>
      </c>
      <c r="C17" t="e">
        <f>AND('Individual Rope Pairs'!J44,"AAAAAF/z/QI=")</f>
        <v>#VALUE!</v>
      </c>
      <c r="D17" t="e">
        <f>AND('Individual Rope Pairs'!K44,"AAAAAF/z/QM=")</f>
        <v>#VALUE!</v>
      </c>
      <c r="E17" t="e">
        <f>IF('Individual Rope Pairs'!45:45,"AAAAAF/z/QQ=",0)</f>
        <v>#VALUE!</v>
      </c>
      <c r="F17" t="b">
        <f>AND('Individual Rope Pairs'!A45,"AAAAAF/z/QU=")</f>
        <v>1</v>
      </c>
      <c r="G17" t="e">
        <f>AND('Individual Rope Pairs'!B45,"AAAAAF/z/QY=")</f>
        <v>#VALUE!</v>
      </c>
      <c r="H17" t="e">
        <f>AND('Individual Rope Pairs'!C45,"AAAAAF/z/Qc=")</f>
        <v>#VALUE!</v>
      </c>
      <c r="I17" t="e">
        <f>AND('Individual Rope Pairs'!D45,"AAAAAF/z/Qg=")</f>
        <v>#VALUE!</v>
      </c>
      <c r="J17" t="e">
        <f>AND('Individual Rope Pairs'!E45,"AAAAAF/z/Qk=")</f>
        <v>#VALUE!</v>
      </c>
      <c r="K17" t="e">
        <f>AND('Individual Rope Pairs'!F45,"AAAAAF/z/Qo=")</f>
        <v>#VALUE!</v>
      </c>
      <c r="L17" t="e">
        <f>AND('Individual Rope Pairs'!G45,"AAAAAF/z/Qs=")</f>
        <v>#VALUE!</v>
      </c>
      <c r="M17" t="e">
        <f>AND('Individual Rope Pairs'!#REF!,"AAAAAF/z/Qw=")</f>
        <v>#REF!</v>
      </c>
      <c r="N17" t="e">
        <f>AND('Individual Rope Pairs'!#REF!,"AAAAAF/z/Q0=")</f>
        <v>#REF!</v>
      </c>
      <c r="O17" t="e">
        <f>AND('Individual Rope Pairs'!H45,"AAAAAF/z/Q4=")</f>
        <v>#VALUE!</v>
      </c>
      <c r="P17" t="e">
        <f>AND('Individual Rope Pairs'!I45,"AAAAAF/z/Q8=")</f>
        <v>#VALUE!</v>
      </c>
      <c r="Q17" t="e">
        <f>AND('Individual Rope Pairs'!J45,"AAAAAF/z/RA=")</f>
        <v>#VALUE!</v>
      </c>
      <c r="R17" t="e">
        <f>AND('Individual Rope Pairs'!K45,"AAAAAF/z/RE=")</f>
        <v>#VALUE!</v>
      </c>
      <c r="S17">
        <f>IF('Individual Rope Pairs'!46:46,"AAAAAF/z/RI=",0)</f>
        <v>0</v>
      </c>
      <c r="T17" t="b">
        <f>AND('Individual Rope Pairs'!A46,"AAAAAF/z/RM=")</f>
        <v>1</v>
      </c>
      <c r="U17" t="e">
        <f>AND('Individual Rope Pairs'!B46,"AAAAAF/z/RQ=")</f>
        <v>#VALUE!</v>
      </c>
      <c r="V17" t="e">
        <f>AND('Individual Rope Pairs'!C46,"AAAAAF/z/RU=")</f>
        <v>#VALUE!</v>
      </c>
      <c r="W17" t="e">
        <f>AND('Individual Rope Pairs'!D46,"AAAAAF/z/RY=")</f>
        <v>#VALUE!</v>
      </c>
      <c r="X17" t="e">
        <f>AND('Individual Rope Pairs'!E46,"AAAAAF/z/Rc=")</f>
        <v>#VALUE!</v>
      </c>
      <c r="Y17" t="e">
        <f>AND('Individual Rope Pairs'!F46,"AAAAAF/z/Rg=")</f>
        <v>#VALUE!</v>
      </c>
      <c r="Z17" t="e">
        <f>AND('Individual Rope Pairs'!G46,"AAAAAF/z/Rk=")</f>
        <v>#VALUE!</v>
      </c>
      <c r="AA17" t="e">
        <f>AND('Individual Rope Pairs'!#REF!,"AAAAAF/z/Ro=")</f>
        <v>#REF!</v>
      </c>
      <c r="AB17" t="e">
        <f>AND('Individual Rope Pairs'!#REF!,"AAAAAF/z/Rs=")</f>
        <v>#REF!</v>
      </c>
      <c r="AC17" t="e">
        <f>AND('Individual Rope Pairs'!H46,"AAAAAF/z/Rw=")</f>
        <v>#VALUE!</v>
      </c>
      <c r="AD17" t="e">
        <f>AND('Individual Rope Pairs'!I46,"AAAAAF/z/R0=")</f>
        <v>#VALUE!</v>
      </c>
      <c r="AE17" t="e">
        <f>AND('Individual Rope Pairs'!J46,"AAAAAF/z/R4=")</f>
        <v>#VALUE!</v>
      </c>
      <c r="AF17" t="e">
        <f>AND('Individual Rope Pairs'!K46,"AAAAAF/z/R8=")</f>
        <v>#VALUE!</v>
      </c>
      <c r="AG17">
        <f>IF('Individual Rope Pairs'!47:47,"AAAAAF/z/SA=",0)</f>
        <v>0</v>
      </c>
      <c r="AH17" t="b">
        <f>AND('Individual Rope Pairs'!A47,"AAAAAF/z/SE=")</f>
        <v>1</v>
      </c>
      <c r="AI17" t="e">
        <f>AND('Individual Rope Pairs'!B47,"AAAAAF/z/SI=")</f>
        <v>#VALUE!</v>
      </c>
      <c r="AJ17" t="e">
        <f>AND('Individual Rope Pairs'!C47,"AAAAAF/z/SM=")</f>
        <v>#VALUE!</v>
      </c>
      <c r="AK17" t="e">
        <f>AND('Individual Rope Pairs'!D47,"AAAAAF/z/SQ=")</f>
        <v>#VALUE!</v>
      </c>
      <c r="AL17" t="e">
        <f>AND('Individual Rope Pairs'!E47,"AAAAAF/z/SU=")</f>
        <v>#VALUE!</v>
      </c>
      <c r="AM17" t="e">
        <f>AND('Individual Rope Pairs'!F47,"AAAAAF/z/SY=")</f>
        <v>#VALUE!</v>
      </c>
      <c r="AN17" t="e">
        <f>AND('Individual Rope Pairs'!G47,"AAAAAF/z/Sc=")</f>
        <v>#VALUE!</v>
      </c>
      <c r="AO17" t="e">
        <f>AND('Individual Rope Pairs'!#REF!,"AAAAAF/z/Sg=")</f>
        <v>#REF!</v>
      </c>
      <c r="AP17" t="e">
        <f>AND('Individual Rope Pairs'!#REF!,"AAAAAF/z/Sk=")</f>
        <v>#REF!</v>
      </c>
      <c r="AQ17" t="e">
        <f>AND('Individual Rope Pairs'!H47,"AAAAAF/z/So=")</f>
        <v>#VALUE!</v>
      </c>
      <c r="AR17" t="e">
        <f>AND('Individual Rope Pairs'!I47,"AAAAAF/z/Ss=")</f>
        <v>#VALUE!</v>
      </c>
      <c r="AS17" t="e">
        <f>AND('Individual Rope Pairs'!J47,"AAAAAF/z/Sw=")</f>
        <v>#VALUE!</v>
      </c>
      <c r="AT17" t="e">
        <f>AND('Individual Rope Pairs'!K47,"AAAAAF/z/S0=")</f>
        <v>#VALUE!</v>
      </c>
      <c r="AU17">
        <f>IF('Individual Rope Pairs'!48:48,"AAAAAF/z/S4=",0)</f>
        <v>0</v>
      </c>
      <c r="AV17" t="b">
        <f>AND('Individual Rope Pairs'!A48,"AAAAAF/z/S8=")</f>
        <v>1</v>
      </c>
      <c r="AW17" t="e">
        <f>AND('Individual Rope Pairs'!B48,"AAAAAF/z/TA=")</f>
        <v>#VALUE!</v>
      </c>
      <c r="AX17" t="e">
        <f>AND('Individual Rope Pairs'!C48,"AAAAAF/z/TE=")</f>
        <v>#VALUE!</v>
      </c>
      <c r="AY17" t="e">
        <f>AND('Individual Rope Pairs'!D48,"AAAAAF/z/TI=")</f>
        <v>#VALUE!</v>
      </c>
      <c r="AZ17" t="e">
        <f>AND('Individual Rope Pairs'!E48,"AAAAAF/z/TM=")</f>
        <v>#VALUE!</v>
      </c>
      <c r="BA17" t="e">
        <f>AND('Individual Rope Pairs'!F48,"AAAAAF/z/TQ=")</f>
        <v>#VALUE!</v>
      </c>
      <c r="BB17" t="e">
        <f>AND('Individual Rope Pairs'!G48,"AAAAAF/z/TU=")</f>
        <v>#VALUE!</v>
      </c>
      <c r="BC17" t="e">
        <f>AND('Individual Rope Pairs'!#REF!,"AAAAAF/z/TY=")</f>
        <v>#REF!</v>
      </c>
      <c r="BD17" t="e">
        <f>AND('Individual Rope Pairs'!#REF!,"AAAAAF/z/Tc=")</f>
        <v>#REF!</v>
      </c>
      <c r="BE17" t="e">
        <f>AND('Individual Rope Pairs'!H48,"AAAAAF/z/Tg=")</f>
        <v>#VALUE!</v>
      </c>
      <c r="BF17" t="e">
        <f>AND('Individual Rope Pairs'!I48,"AAAAAF/z/Tk=")</f>
        <v>#VALUE!</v>
      </c>
      <c r="BG17" t="e">
        <f>AND('Individual Rope Pairs'!J48,"AAAAAF/z/To=")</f>
        <v>#VALUE!</v>
      </c>
      <c r="BH17" t="e">
        <f>AND('Individual Rope Pairs'!K48,"AAAAAF/z/Ts=")</f>
        <v>#VALUE!</v>
      </c>
      <c r="BI17">
        <f>IF('Individual Rope Pairs'!49:49,"AAAAAF/z/Tw=",0)</f>
        <v>0</v>
      </c>
      <c r="BJ17" t="b">
        <f>AND('Individual Rope Pairs'!A49,"AAAAAF/z/T0=")</f>
        <v>1</v>
      </c>
      <c r="BK17" t="e">
        <f>AND('Individual Rope Pairs'!B49,"AAAAAF/z/T4=")</f>
        <v>#VALUE!</v>
      </c>
      <c r="BL17" t="e">
        <f>AND('Individual Rope Pairs'!C49,"AAAAAF/z/T8=")</f>
        <v>#VALUE!</v>
      </c>
      <c r="BM17" t="e">
        <f>AND('Individual Rope Pairs'!D49,"AAAAAF/z/UA=")</f>
        <v>#VALUE!</v>
      </c>
      <c r="BN17" t="e">
        <f>AND('Individual Rope Pairs'!E49,"AAAAAF/z/UE=")</f>
        <v>#VALUE!</v>
      </c>
      <c r="BO17" t="e">
        <f>AND('Individual Rope Pairs'!F49,"AAAAAF/z/UI=")</f>
        <v>#VALUE!</v>
      </c>
      <c r="BP17" t="e">
        <f>AND('Individual Rope Pairs'!G49,"AAAAAF/z/UM=")</f>
        <v>#VALUE!</v>
      </c>
      <c r="BQ17" t="e">
        <f>AND('Individual Rope Pairs'!#REF!,"AAAAAF/z/UQ=")</f>
        <v>#REF!</v>
      </c>
      <c r="BR17" t="e">
        <f>AND('Individual Rope Pairs'!#REF!,"AAAAAF/z/UU=")</f>
        <v>#REF!</v>
      </c>
      <c r="BS17" t="e">
        <f>AND('Individual Rope Pairs'!H49,"AAAAAF/z/UY=")</f>
        <v>#VALUE!</v>
      </c>
      <c r="BT17" t="e">
        <f>AND('Individual Rope Pairs'!I49,"AAAAAF/z/Uc=")</f>
        <v>#VALUE!</v>
      </c>
      <c r="BU17" t="e">
        <f>AND('Individual Rope Pairs'!J49,"AAAAAF/z/Ug=")</f>
        <v>#VALUE!</v>
      </c>
      <c r="BV17" t="e">
        <f>AND('Individual Rope Pairs'!K49,"AAAAAF/z/Uk=")</f>
        <v>#VALUE!</v>
      </c>
      <c r="BW17">
        <f>IF('Individual Rope Pairs'!50:50,"AAAAAF/z/Uo=",0)</f>
        <v>0</v>
      </c>
      <c r="BX17" t="b">
        <f>AND('Individual Rope Pairs'!A50,"AAAAAF/z/Us=")</f>
        <v>1</v>
      </c>
      <c r="BY17" t="e">
        <f>AND('Individual Rope Pairs'!B50,"AAAAAF/z/Uw=")</f>
        <v>#VALUE!</v>
      </c>
      <c r="BZ17" t="e">
        <f>AND('Individual Rope Pairs'!C50,"AAAAAF/z/U0=")</f>
        <v>#VALUE!</v>
      </c>
      <c r="CA17" t="e">
        <f>AND('Individual Rope Pairs'!D50,"AAAAAF/z/U4=")</f>
        <v>#VALUE!</v>
      </c>
      <c r="CB17" t="e">
        <f>AND('Individual Rope Pairs'!E50,"AAAAAF/z/U8=")</f>
        <v>#VALUE!</v>
      </c>
      <c r="CC17" t="e">
        <f>AND('Individual Rope Pairs'!F50,"AAAAAF/z/VA=")</f>
        <v>#VALUE!</v>
      </c>
      <c r="CD17" t="e">
        <f>AND('Individual Rope Pairs'!G50,"AAAAAF/z/VE=")</f>
        <v>#VALUE!</v>
      </c>
      <c r="CE17" t="e">
        <f>AND('Individual Rope Pairs'!#REF!,"AAAAAF/z/VI=")</f>
        <v>#REF!</v>
      </c>
      <c r="CF17" t="e">
        <f>AND('Individual Rope Pairs'!#REF!,"AAAAAF/z/VM=")</f>
        <v>#REF!</v>
      </c>
      <c r="CG17" t="e">
        <f>AND('Individual Rope Pairs'!H50,"AAAAAF/z/VQ=")</f>
        <v>#VALUE!</v>
      </c>
      <c r="CH17" t="e">
        <f>AND('Individual Rope Pairs'!I50,"AAAAAF/z/VU=")</f>
        <v>#VALUE!</v>
      </c>
      <c r="CI17" t="e">
        <f>AND('Individual Rope Pairs'!J50,"AAAAAF/z/VY=")</f>
        <v>#VALUE!</v>
      </c>
      <c r="CJ17" t="e">
        <f>AND('Individual Rope Pairs'!K50,"AAAAAF/z/Vc=")</f>
        <v>#VALUE!</v>
      </c>
      <c r="CK17">
        <f>IF('Individual Rope Pairs'!51:51,"AAAAAF/z/Vg=",0)</f>
        <v>0</v>
      </c>
      <c r="CL17" t="b">
        <f>AND('Individual Rope Pairs'!A51,"AAAAAF/z/Vk=")</f>
        <v>1</v>
      </c>
      <c r="CM17" t="e">
        <f>AND('Individual Rope Pairs'!B51,"AAAAAF/z/Vo=")</f>
        <v>#VALUE!</v>
      </c>
      <c r="CN17" t="e">
        <f>AND('Individual Rope Pairs'!C51,"AAAAAF/z/Vs=")</f>
        <v>#VALUE!</v>
      </c>
      <c r="CO17" t="e">
        <f>AND('Individual Rope Pairs'!D51,"AAAAAF/z/Vw=")</f>
        <v>#VALUE!</v>
      </c>
      <c r="CP17" t="e">
        <f>AND('Individual Rope Pairs'!E51,"AAAAAF/z/V0=")</f>
        <v>#VALUE!</v>
      </c>
      <c r="CQ17" t="e">
        <f>AND('Individual Rope Pairs'!F51,"AAAAAF/z/V4=")</f>
        <v>#VALUE!</v>
      </c>
      <c r="CR17" t="e">
        <f>AND('Individual Rope Pairs'!G51,"AAAAAF/z/V8=")</f>
        <v>#VALUE!</v>
      </c>
      <c r="CS17" t="e">
        <f>AND('Individual Rope Pairs'!#REF!,"AAAAAF/z/WA=")</f>
        <v>#REF!</v>
      </c>
      <c r="CT17" t="e">
        <f>AND('Individual Rope Pairs'!#REF!,"AAAAAF/z/WE=")</f>
        <v>#REF!</v>
      </c>
      <c r="CU17" t="e">
        <f>AND('Individual Rope Pairs'!H51,"AAAAAF/z/WI=")</f>
        <v>#VALUE!</v>
      </c>
      <c r="CV17" t="e">
        <f>AND('Individual Rope Pairs'!I51,"AAAAAF/z/WM=")</f>
        <v>#VALUE!</v>
      </c>
      <c r="CW17" t="e">
        <f>AND('Individual Rope Pairs'!J51,"AAAAAF/z/WQ=")</f>
        <v>#VALUE!</v>
      </c>
      <c r="CX17" t="e">
        <f>AND('Individual Rope Pairs'!K51,"AAAAAF/z/WU=")</f>
        <v>#VALUE!</v>
      </c>
      <c r="CY17">
        <f>IF('Individual Rope Pairs'!52:52,"AAAAAF/z/WY=",0)</f>
        <v>0</v>
      </c>
      <c r="CZ17" t="b">
        <f>AND('Individual Rope Pairs'!A52,"AAAAAF/z/Wc=")</f>
        <v>1</v>
      </c>
      <c r="DA17" t="e">
        <f>AND('Individual Rope Pairs'!B52,"AAAAAF/z/Wg=")</f>
        <v>#VALUE!</v>
      </c>
      <c r="DB17" t="e">
        <f>AND('Individual Rope Pairs'!C52,"AAAAAF/z/Wk=")</f>
        <v>#VALUE!</v>
      </c>
      <c r="DC17" t="e">
        <f>AND('Individual Rope Pairs'!D52,"AAAAAF/z/Wo=")</f>
        <v>#VALUE!</v>
      </c>
      <c r="DD17" t="e">
        <f>AND('Individual Rope Pairs'!E52,"AAAAAF/z/Ws=")</f>
        <v>#VALUE!</v>
      </c>
      <c r="DE17" t="e">
        <f>AND('Individual Rope Pairs'!F52,"AAAAAF/z/Ww=")</f>
        <v>#VALUE!</v>
      </c>
      <c r="DF17" t="e">
        <f>AND('Individual Rope Pairs'!G52,"AAAAAF/z/W0=")</f>
        <v>#VALUE!</v>
      </c>
      <c r="DG17" t="e">
        <f>AND('Individual Rope Pairs'!#REF!,"AAAAAF/z/W4=")</f>
        <v>#REF!</v>
      </c>
      <c r="DH17" t="e">
        <f>AND('Individual Rope Pairs'!#REF!,"AAAAAF/z/W8=")</f>
        <v>#REF!</v>
      </c>
      <c r="DI17" t="e">
        <f>AND('Individual Rope Pairs'!H52,"AAAAAF/z/XA=")</f>
        <v>#VALUE!</v>
      </c>
      <c r="DJ17" t="e">
        <f>AND('Individual Rope Pairs'!I52,"AAAAAF/z/XE=")</f>
        <v>#VALUE!</v>
      </c>
      <c r="DK17" t="e">
        <f>AND('Individual Rope Pairs'!J52,"AAAAAF/z/XI=")</f>
        <v>#VALUE!</v>
      </c>
      <c r="DL17" t="e">
        <f>AND('Individual Rope Pairs'!K52,"AAAAAF/z/XM=")</f>
        <v>#VALUE!</v>
      </c>
      <c r="DM17">
        <f>IF('Individual Rope Pairs'!55:55,"AAAAAF/z/XQ=",0)</f>
        <v>0</v>
      </c>
      <c r="DN17" t="e">
        <f>AND('Individual Rope Pairs'!A55,"AAAAAF/z/XU=")</f>
        <v>#VALUE!</v>
      </c>
      <c r="DO17" t="e">
        <f>AND('Individual Rope Pairs'!B55,"AAAAAF/z/XY=")</f>
        <v>#VALUE!</v>
      </c>
      <c r="DP17" t="e">
        <f>AND('Individual Rope Pairs'!C55,"AAAAAF/z/Xc=")</f>
        <v>#VALUE!</v>
      </c>
      <c r="DQ17" t="e">
        <f>AND('Individual Rope Pairs'!D55,"AAAAAF/z/Xg=")</f>
        <v>#VALUE!</v>
      </c>
      <c r="DR17" t="e">
        <f>AND('Individual Rope Pairs'!E55,"AAAAAF/z/Xk=")</f>
        <v>#VALUE!</v>
      </c>
      <c r="DS17" t="e">
        <f>AND('Individual Rope Pairs'!F55,"AAAAAF/z/Xo=")</f>
        <v>#VALUE!</v>
      </c>
      <c r="DT17" t="e">
        <f>AND('Individual Rope Pairs'!G55,"AAAAAF/z/Xs=")</f>
        <v>#VALUE!</v>
      </c>
      <c r="DU17" t="e">
        <f>AND('Individual Rope Pairs'!#REF!,"AAAAAF/z/Xw=")</f>
        <v>#REF!</v>
      </c>
      <c r="DV17" t="e">
        <f>AND('Individual Rope Pairs'!#REF!,"AAAAAF/z/X0=")</f>
        <v>#REF!</v>
      </c>
      <c r="DW17" t="e">
        <f>AND('Individual Rope Pairs'!H55,"AAAAAF/z/X4=")</f>
        <v>#VALUE!</v>
      </c>
      <c r="DX17" t="e">
        <f>AND('Individual Rope Pairs'!I55,"AAAAAF/z/X8=")</f>
        <v>#VALUE!</v>
      </c>
      <c r="DY17" t="e">
        <f>AND('Individual Rope Pairs'!J55,"AAAAAF/z/YA=")</f>
        <v>#VALUE!</v>
      </c>
      <c r="DZ17" t="e">
        <f>AND('Individual Rope Pairs'!K55,"AAAAAF/z/YE=")</f>
        <v>#VALUE!</v>
      </c>
      <c r="EA17">
        <f>IF('Individual Rope Pairs'!56:56,"AAAAAF/z/YI=",0)</f>
        <v>0</v>
      </c>
      <c r="EB17" t="e">
        <f>AND('Individual Rope Pairs'!A56,"AAAAAF/z/YM=")</f>
        <v>#VALUE!</v>
      </c>
      <c r="EC17" t="e">
        <f>AND('Individual Rope Pairs'!B56,"AAAAAF/z/YQ=")</f>
        <v>#VALUE!</v>
      </c>
      <c r="ED17" t="e">
        <f>AND('Individual Rope Pairs'!C56,"AAAAAF/z/YU=")</f>
        <v>#VALUE!</v>
      </c>
      <c r="EE17" t="e">
        <f>AND('Individual Rope Pairs'!D56,"AAAAAF/z/YY=")</f>
        <v>#VALUE!</v>
      </c>
      <c r="EF17" t="e">
        <f>AND('Individual Rope Pairs'!E56,"AAAAAF/z/Yc=")</f>
        <v>#VALUE!</v>
      </c>
      <c r="EG17" t="e">
        <f>AND('Individual Rope Pairs'!F56,"AAAAAF/z/Yg=")</f>
        <v>#VALUE!</v>
      </c>
      <c r="EH17" t="e">
        <f>AND('Individual Rope Pairs'!G56,"AAAAAF/z/Yk=")</f>
        <v>#VALUE!</v>
      </c>
      <c r="EI17" t="e">
        <f>AND('Individual Rope Pairs'!#REF!,"AAAAAF/z/Yo=")</f>
        <v>#REF!</v>
      </c>
      <c r="EJ17" t="e">
        <f>AND('Individual Rope Pairs'!#REF!,"AAAAAF/z/Ys=")</f>
        <v>#REF!</v>
      </c>
      <c r="EK17" t="e">
        <f>AND('Individual Rope Pairs'!H56,"AAAAAF/z/Yw=")</f>
        <v>#VALUE!</v>
      </c>
      <c r="EL17" t="e">
        <f>AND('Individual Rope Pairs'!I56,"AAAAAF/z/Y0=")</f>
        <v>#VALUE!</v>
      </c>
      <c r="EM17" t="e">
        <f>AND('Individual Rope Pairs'!J56,"AAAAAF/z/Y4=")</f>
        <v>#VALUE!</v>
      </c>
      <c r="EN17" t="e">
        <f>AND('Individual Rope Pairs'!K56,"AAAAAF/z/Y8=")</f>
        <v>#VALUE!</v>
      </c>
      <c r="EO17">
        <f>IF('Individual Rope Pairs'!57:57,"AAAAAF/z/ZA=",0)</f>
        <v>0</v>
      </c>
      <c r="EP17" t="b">
        <f>AND('Individual Rope Pairs'!A57,"AAAAAF/z/ZE=")</f>
        <v>1</v>
      </c>
      <c r="EQ17" t="e">
        <f>AND('Individual Rope Pairs'!B57,"AAAAAF/z/ZI=")</f>
        <v>#VALUE!</v>
      </c>
      <c r="ER17" t="e">
        <f>AND('Individual Rope Pairs'!C57,"AAAAAF/z/ZM=")</f>
        <v>#VALUE!</v>
      </c>
      <c r="ES17" t="e">
        <f>AND('Individual Rope Pairs'!D57,"AAAAAF/z/ZQ=")</f>
        <v>#VALUE!</v>
      </c>
      <c r="ET17" t="e">
        <f>AND('Individual Rope Pairs'!E57,"AAAAAF/z/ZU=")</f>
        <v>#VALUE!</v>
      </c>
      <c r="EU17" t="e">
        <f>AND('Individual Rope Pairs'!F57,"AAAAAF/z/ZY=")</f>
        <v>#VALUE!</v>
      </c>
      <c r="EV17" t="e">
        <f>AND('Individual Rope Pairs'!G57,"AAAAAF/z/Zc=")</f>
        <v>#VALUE!</v>
      </c>
      <c r="EW17" t="e">
        <f>AND('Individual Rope Pairs'!#REF!,"AAAAAF/z/Zg=")</f>
        <v>#REF!</v>
      </c>
      <c r="EX17" t="e">
        <f>AND('Individual Rope Pairs'!#REF!,"AAAAAF/z/Zk=")</f>
        <v>#REF!</v>
      </c>
      <c r="EY17" t="e">
        <f>AND('Individual Rope Pairs'!H57,"AAAAAF/z/Zo=")</f>
        <v>#VALUE!</v>
      </c>
      <c r="EZ17" t="e">
        <f>AND('Individual Rope Pairs'!I57,"AAAAAF/z/Zs=")</f>
        <v>#VALUE!</v>
      </c>
      <c r="FA17" t="e">
        <f>AND('Individual Rope Pairs'!J57,"AAAAAF/z/Zw=")</f>
        <v>#VALUE!</v>
      </c>
      <c r="FB17" t="e">
        <f>AND('Individual Rope Pairs'!K57,"AAAAAF/z/Z0=")</f>
        <v>#VALUE!</v>
      </c>
      <c r="FC17">
        <f>IF('Individual Rope Pairs'!58:58,"AAAAAF/z/Z4=",0)</f>
        <v>0</v>
      </c>
      <c r="FD17" t="b">
        <f>AND('Individual Rope Pairs'!A58,"AAAAAF/z/Z8=")</f>
        <v>1</v>
      </c>
      <c r="FE17" t="e">
        <f>AND('Individual Rope Pairs'!B58,"AAAAAF/z/aA=")</f>
        <v>#VALUE!</v>
      </c>
      <c r="FF17" t="e">
        <f>AND('Individual Rope Pairs'!C58,"AAAAAF/z/aE=")</f>
        <v>#VALUE!</v>
      </c>
      <c r="FG17" t="e">
        <f>AND('Individual Rope Pairs'!D58,"AAAAAF/z/aI=")</f>
        <v>#VALUE!</v>
      </c>
      <c r="FH17" t="e">
        <f>AND('Individual Rope Pairs'!E58,"AAAAAF/z/aM=")</f>
        <v>#VALUE!</v>
      </c>
      <c r="FI17" t="e">
        <f>AND('Individual Rope Pairs'!F58,"AAAAAF/z/aQ=")</f>
        <v>#VALUE!</v>
      </c>
      <c r="FJ17" t="e">
        <f>AND('Individual Rope Pairs'!G58,"AAAAAF/z/aU=")</f>
        <v>#VALUE!</v>
      </c>
      <c r="FK17" t="e">
        <f>AND('Individual Rope Pairs'!#REF!,"AAAAAF/z/aY=")</f>
        <v>#REF!</v>
      </c>
      <c r="FL17" t="e">
        <f>AND('Individual Rope Pairs'!#REF!,"AAAAAF/z/ac=")</f>
        <v>#REF!</v>
      </c>
      <c r="FM17" t="e">
        <f>AND('Individual Rope Pairs'!H58,"AAAAAF/z/ag=")</f>
        <v>#VALUE!</v>
      </c>
      <c r="FN17" t="e">
        <f>AND('Individual Rope Pairs'!I58,"AAAAAF/z/ak=")</f>
        <v>#VALUE!</v>
      </c>
      <c r="FO17" t="e">
        <f>AND('Individual Rope Pairs'!J58,"AAAAAF/z/ao=")</f>
        <v>#VALUE!</v>
      </c>
      <c r="FP17" t="e">
        <f>AND('Individual Rope Pairs'!K58,"AAAAAF/z/as=")</f>
        <v>#VALUE!</v>
      </c>
      <c r="FQ17">
        <f>IF('Individual Rope Pairs'!59:59,"AAAAAF/z/aw=",0)</f>
        <v>0</v>
      </c>
      <c r="FR17" t="b">
        <f>AND('Individual Rope Pairs'!A59,"AAAAAF/z/a0=")</f>
        <v>1</v>
      </c>
      <c r="FS17" t="e">
        <f>AND('Individual Rope Pairs'!B59,"AAAAAF/z/a4=")</f>
        <v>#VALUE!</v>
      </c>
      <c r="FT17" t="e">
        <f>AND('Individual Rope Pairs'!C59,"AAAAAF/z/a8=")</f>
        <v>#VALUE!</v>
      </c>
      <c r="FU17" t="e">
        <f>AND('Individual Rope Pairs'!D59,"AAAAAF/z/bA=")</f>
        <v>#VALUE!</v>
      </c>
      <c r="FV17" t="e">
        <f>AND('Individual Rope Pairs'!E59,"AAAAAF/z/bE=")</f>
        <v>#VALUE!</v>
      </c>
      <c r="FW17" t="e">
        <f>AND('Individual Rope Pairs'!F59,"AAAAAF/z/bI=")</f>
        <v>#VALUE!</v>
      </c>
      <c r="FX17" t="e">
        <f>AND('Individual Rope Pairs'!G59,"AAAAAF/z/bM=")</f>
        <v>#VALUE!</v>
      </c>
      <c r="FY17" t="e">
        <f>AND('Individual Rope Pairs'!#REF!,"AAAAAF/z/bQ=")</f>
        <v>#REF!</v>
      </c>
      <c r="FZ17" t="e">
        <f>AND('Individual Rope Pairs'!#REF!,"AAAAAF/z/bU=")</f>
        <v>#REF!</v>
      </c>
      <c r="GA17" t="e">
        <f>AND('Individual Rope Pairs'!H59,"AAAAAF/z/bY=")</f>
        <v>#VALUE!</v>
      </c>
      <c r="GB17" t="e">
        <f>AND('Individual Rope Pairs'!I59,"AAAAAF/z/bc=")</f>
        <v>#VALUE!</v>
      </c>
      <c r="GC17" t="e">
        <f>AND('Individual Rope Pairs'!J59,"AAAAAF/z/bg=")</f>
        <v>#VALUE!</v>
      </c>
      <c r="GD17" t="e">
        <f>AND('Individual Rope Pairs'!K59,"AAAAAF/z/bk=")</f>
        <v>#VALUE!</v>
      </c>
      <c r="GE17">
        <f>IF('Individual Rope Pairs'!60:60,"AAAAAF/z/bo=",0)</f>
        <v>0</v>
      </c>
      <c r="GF17" t="b">
        <f>AND('Individual Rope Pairs'!A60,"AAAAAF/z/bs=")</f>
        <v>1</v>
      </c>
      <c r="GG17" t="e">
        <f>AND('Individual Rope Pairs'!B60,"AAAAAF/z/bw=")</f>
        <v>#VALUE!</v>
      </c>
      <c r="GH17" t="e">
        <f>AND('Individual Rope Pairs'!C60,"AAAAAF/z/b0=")</f>
        <v>#VALUE!</v>
      </c>
      <c r="GI17" t="e">
        <f>AND('Individual Rope Pairs'!D60,"AAAAAF/z/b4=")</f>
        <v>#VALUE!</v>
      </c>
      <c r="GJ17" t="e">
        <f>AND('Individual Rope Pairs'!E60,"AAAAAF/z/b8=")</f>
        <v>#VALUE!</v>
      </c>
      <c r="GK17" t="e">
        <f>AND('Individual Rope Pairs'!F60,"AAAAAF/z/cA=")</f>
        <v>#VALUE!</v>
      </c>
      <c r="GL17" t="e">
        <f>AND('Individual Rope Pairs'!G60,"AAAAAF/z/cE=")</f>
        <v>#VALUE!</v>
      </c>
      <c r="GM17" t="e">
        <f>AND('Individual Rope Pairs'!#REF!,"AAAAAF/z/cI=")</f>
        <v>#REF!</v>
      </c>
      <c r="GN17" t="e">
        <f>AND('Individual Rope Pairs'!#REF!,"AAAAAF/z/cM=")</f>
        <v>#REF!</v>
      </c>
      <c r="GO17" t="e">
        <f>AND('Individual Rope Pairs'!H60,"AAAAAF/z/cQ=")</f>
        <v>#VALUE!</v>
      </c>
      <c r="GP17" t="e">
        <f>AND('Individual Rope Pairs'!I60,"AAAAAF/z/cU=")</f>
        <v>#VALUE!</v>
      </c>
      <c r="GQ17" t="e">
        <f>AND('Individual Rope Pairs'!J60,"AAAAAF/z/cY=")</f>
        <v>#VALUE!</v>
      </c>
      <c r="GR17" t="e">
        <f>AND('Individual Rope Pairs'!K60,"AAAAAF/z/cc=")</f>
        <v>#VALUE!</v>
      </c>
      <c r="GS17">
        <f>IF('Individual Rope Pairs'!61:61,"AAAAAF/z/cg=",0)</f>
        <v>0</v>
      </c>
      <c r="GT17" t="b">
        <f>AND('Individual Rope Pairs'!A61,"AAAAAF/z/ck=")</f>
        <v>1</v>
      </c>
      <c r="GU17" t="e">
        <f>AND('Individual Rope Pairs'!B61,"AAAAAF/z/co=")</f>
        <v>#VALUE!</v>
      </c>
      <c r="GV17" t="e">
        <f>AND('Individual Rope Pairs'!C61,"AAAAAF/z/cs=")</f>
        <v>#VALUE!</v>
      </c>
      <c r="GW17" t="e">
        <f>AND('Individual Rope Pairs'!D61,"AAAAAF/z/cw=")</f>
        <v>#VALUE!</v>
      </c>
      <c r="GX17" t="e">
        <f>AND('Individual Rope Pairs'!E61,"AAAAAF/z/c0=")</f>
        <v>#VALUE!</v>
      </c>
      <c r="GY17" t="e">
        <f>AND('Individual Rope Pairs'!F61,"AAAAAF/z/c4=")</f>
        <v>#VALUE!</v>
      </c>
      <c r="GZ17" t="e">
        <f>AND('Individual Rope Pairs'!G61,"AAAAAF/z/c8=")</f>
        <v>#VALUE!</v>
      </c>
      <c r="HA17" t="e">
        <f>AND('Individual Rope Pairs'!#REF!,"AAAAAF/z/dA=")</f>
        <v>#REF!</v>
      </c>
      <c r="HB17" t="e">
        <f>AND('Individual Rope Pairs'!#REF!,"AAAAAF/z/dE=")</f>
        <v>#REF!</v>
      </c>
      <c r="HC17" t="e">
        <f>AND('Individual Rope Pairs'!H61,"AAAAAF/z/dI=")</f>
        <v>#VALUE!</v>
      </c>
      <c r="HD17" t="e">
        <f>AND('Individual Rope Pairs'!I61,"AAAAAF/z/dM=")</f>
        <v>#VALUE!</v>
      </c>
      <c r="HE17" t="e">
        <f>AND('Individual Rope Pairs'!J61,"AAAAAF/z/dQ=")</f>
        <v>#VALUE!</v>
      </c>
      <c r="HF17" t="e">
        <f>AND('Individual Rope Pairs'!K61,"AAAAAF/z/dU=")</f>
        <v>#VALUE!</v>
      </c>
      <c r="HG17">
        <f>IF('Individual Rope Pairs'!62:62,"AAAAAF/z/dY=",0)</f>
        <v>0</v>
      </c>
      <c r="HH17" t="b">
        <f>AND('Individual Rope Pairs'!A62,"AAAAAF/z/dc=")</f>
        <v>1</v>
      </c>
      <c r="HI17" t="e">
        <f>AND('Individual Rope Pairs'!B62,"AAAAAF/z/dg=")</f>
        <v>#VALUE!</v>
      </c>
      <c r="HJ17" t="e">
        <f>AND('Individual Rope Pairs'!C62,"AAAAAF/z/dk=")</f>
        <v>#VALUE!</v>
      </c>
      <c r="HK17" t="e">
        <f>AND('Individual Rope Pairs'!D62,"AAAAAF/z/do=")</f>
        <v>#VALUE!</v>
      </c>
      <c r="HL17" t="e">
        <f>AND('Individual Rope Pairs'!E62,"AAAAAF/z/ds=")</f>
        <v>#VALUE!</v>
      </c>
      <c r="HM17" t="e">
        <f>AND('Individual Rope Pairs'!F62,"AAAAAF/z/dw=")</f>
        <v>#VALUE!</v>
      </c>
      <c r="HN17" t="e">
        <f>AND('Individual Rope Pairs'!G62,"AAAAAF/z/d0=")</f>
        <v>#VALUE!</v>
      </c>
      <c r="HO17" t="e">
        <f>AND('Individual Rope Pairs'!#REF!,"AAAAAF/z/d4=")</f>
        <v>#REF!</v>
      </c>
      <c r="HP17" t="e">
        <f>AND('Individual Rope Pairs'!#REF!,"AAAAAF/z/d8=")</f>
        <v>#REF!</v>
      </c>
      <c r="HQ17" t="e">
        <f>AND('Individual Rope Pairs'!H62,"AAAAAF/z/eA=")</f>
        <v>#VALUE!</v>
      </c>
      <c r="HR17" t="e">
        <f>AND('Individual Rope Pairs'!I62,"AAAAAF/z/eE=")</f>
        <v>#VALUE!</v>
      </c>
      <c r="HS17" t="e">
        <f>AND('Individual Rope Pairs'!J62,"AAAAAF/z/eI=")</f>
        <v>#VALUE!</v>
      </c>
      <c r="HT17" t="e">
        <f>AND('Individual Rope Pairs'!K62,"AAAAAF/z/eM=")</f>
        <v>#VALUE!</v>
      </c>
      <c r="HU17">
        <f>IF('Individual Rope Pairs'!63:63,"AAAAAF/z/eQ=",0)</f>
        <v>0</v>
      </c>
      <c r="HV17" t="b">
        <f>AND('Individual Rope Pairs'!A63,"AAAAAF/z/eU=")</f>
        <v>1</v>
      </c>
      <c r="HW17" t="e">
        <f>AND('Individual Rope Pairs'!B63,"AAAAAF/z/eY=")</f>
        <v>#VALUE!</v>
      </c>
      <c r="HX17" t="e">
        <f>AND('Individual Rope Pairs'!C63,"AAAAAF/z/ec=")</f>
        <v>#VALUE!</v>
      </c>
      <c r="HY17" t="e">
        <f>AND('Individual Rope Pairs'!D63,"AAAAAF/z/eg=")</f>
        <v>#VALUE!</v>
      </c>
      <c r="HZ17" t="e">
        <f>AND('Individual Rope Pairs'!E63,"AAAAAF/z/ek=")</f>
        <v>#VALUE!</v>
      </c>
      <c r="IA17" t="e">
        <f>AND('Individual Rope Pairs'!F63,"AAAAAF/z/eo=")</f>
        <v>#VALUE!</v>
      </c>
      <c r="IB17" t="e">
        <f>AND('Individual Rope Pairs'!G63,"AAAAAF/z/es=")</f>
        <v>#VALUE!</v>
      </c>
      <c r="IC17" t="e">
        <f>AND('Individual Rope Pairs'!#REF!,"AAAAAF/z/ew=")</f>
        <v>#REF!</v>
      </c>
      <c r="ID17" t="e">
        <f>AND('Individual Rope Pairs'!#REF!,"AAAAAF/z/e0=")</f>
        <v>#REF!</v>
      </c>
      <c r="IE17" t="e">
        <f>AND('Individual Rope Pairs'!H63,"AAAAAF/z/e4=")</f>
        <v>#VALUE!</v>
      </c>
      <c r="IF17" t="e">
        <f>AND('Individual Rope Pairs'!I63,"AAAAAF/z/e8=")</f>
        <v>#VALUE!</v>
      </c>
      <c r="IG17" t="e">
        <f>AND('Individual Rope Pairs'!J63,"AAAAAF/z/fA=")</f>
        <v>#VALUE!</v>
      </c>
      <c r="IH17" t="e">
        <f>AND('Individual Rope Pairs'!K63,"AAAAAF/z/fE=")</f>
        <v>#VALUE!</v>
      </c>
      <c r="II17">
        <f>IF('Individual Rope Pairs'!64:64,"AAAAAF/z/fI=",0)</f>
        <v>0</v>
      </c>
      <c r="IJ17" t="b">
        <f>AND('Individual Rope Pairs'!A64,"AAAAAF/z/fM=")</f>
        <v>1</v>
      </c>
      <c r="IK17" t="e">
        <f>AND('Individual Rope Pairs'!B64,"AAAAAF/z/fQ=")</f>
        <v>#VALUE!</v>
      </c>
      <c r="IL17" t="e">
        <f>AND('Individual Rope Pairs'!C64,"AAAAAF/z/fU=")</f>
        <v>#VALUE!</v>
      </c>
      <c r="IM17" t="e">
        <f>AND('Individual Rope Pairs'!D64,"AAAAAF/z/fY=")</f>
        <v>#VALUE!</v>
      </c>
      <c r="IN17" t="e">
        <f>AND('Individual Rope Pairs'!E64,"AAAAAF/z/fc=")</f>
        <v>#VALUE!</v>
      </c>
      <c r="IO17" t="e">
        <f>AND('Individual Rope Pairs'!F64,"AAAAAF/z/fg=")</f>
        <v>#VALUE!</v>
      </c>
      <c r="IP17" t="e">
        <f>AND('Individual Rope Pairs'!G64,"AAAAAF/z/fk=")</f>
        <v>#VALUE!</v>
      </c>
      <c r="IQ17" t="e">
        <f>AND('Individual Rope Pairs'!#REF!,"AAAAAF/z/fo=")</f>
        <v>#REF!</v>
      </c>
      <c r="IR17" t="e">
        <f>AND('Individual Rope Pairs'!#REF!,"AAAAAF/z/fs=")</f>
        <v>#REF!</v>
      </c>
      <c r="IS17" t="e">
        <f>AND('Individual Rope Pairs'!H64,"AAAAAF/z/fw=")</f>
        <v>#VALUE!</v>
      </c>
      <c r="IT17" t="e">
        <f>AND('Individual Rope Pairs'!I64,"AAAAAF/z/f0=")</f>
        <v>#VALUE!</v>
      </c>
      <c r="IU17" t="e">
        <f>AND('Individual Rope Pairs'!J64,"AAAAAF/z/f4=")</f>
        <v>#VALUE!</v>
      </c>
      <c r="IV17" t="e">
        <f>AND('Individual Rope Pairs'!K64,"AAAAAF/z/f8=")</f>
        <v>#VALUE!</v>
      </c>
    </row>
    <row r="18" spans="1:256" x14ac:dyDescent="0.25">
      <c r="A18">
        <f>IF('Individual Rope Pairs'!65:65,"AAAAAD28nwA=",0)</f>
        <v>0</v>
      </c>
      <c r="B18" t="e">
        <f>AND('Individual Rope Pairs'!A65,"AAAAAD28nwE=")</f>
        <v>#VALUE!</v>
      </c>
      <c r="C18" t="e">
        <f>AND('Individual Rope Pairs'!B65,"AAAAAD28nwI=")</f>
        <v>#VALUE!</v>
      </c>
      <c r="D18" t="e">
        <f>AND('Individual Rope Pairs'!C65,"AAAAAD28nwM=")</f>
        <v>#VALUE!</v>
      </c>
      <c r="E18" t="e">
        <f>AND('Individual Rope Pairs'!D65,"AAAAAD28nwQ=")</f>
        <v>#VALUE!</v>
      </c>
      <c r="F18" t="e">
        <f>AND('Individual Rope Pairs'!E65,"AAAAAD28nwU=")</f>
        <v>#VALUE!</v>
      </c>
      <c r="G18" t="e">
        <f>AND('Individual Rope Pairs'!F65,"AAAAAD28nwY=")</f>
        <v>#VALUE!</v>
      </c>
      <c r="H18" t="e">
        <f>AND('Individual Rope Pairs'!G65,"AAAAAD28nwc=")</f>
        <v>#VALUE!</v>
      </c>
      <c r="I18" t="e">
        <f>AND('Individual Rope Pairs'!#REF!,"AAAAAD28nwg=")</f>
        <v>#REF!</v>
      </c>
      <c r="J18" t="e">
        <f>AND('Individual Rope Pairs'!#REF!,"AAAAAD28nwk=")</f>
        <v>#REF!</v>
      </c>
      <c r="K18" t="e">
        <f>AND('Individual Rope Pairs'!H65,"AAAAAD28nwo=")</f>
        <v>#VALUE!</v>
      </c>
      <c r="L18" t="e">
        <f>AND('Individual Rope Pairs'!I65,"AAAAAD28nws=")</f>
        <v>#VALUE!</v>
      </c>
      <c r="M18" t="e">
        <f>AND('Individual Rope Pairs'!J65,"AAAAAD28nww=")</f>
        <v>#VALUE!</v>
      </c>
      <c r="N18" t="e">
        <f>AND('Individual Rope Pairs'!K65,"AAAAAD28nw0=")</f>
        <v>#VALUE!</v>
      </c>
      <c r="O18">
        <f>IF('Individual Rope Pairs'!66:66,"AAAAAD28nw4=",0)</f>
        <v>0</v>
      </c>
      <c r="P18" t="e">
        <f>AND('Individual Rope Pairs'!A66,"AAAAAD28nw8=")</f>
        <v>#VALUE!</v>
      </c>
      <c r="Q18" t="e">
        <f>AND('Individual Rope Pairs'!B66,"AAAAAD28nxA=")</f>
        <v>#VALUE!</v>
      </c>
      <c r="R18" t="e">
        <f>AND('Individual Rope Pairs'!C66,"AAAAAD28nxE=")</f>
        <v>#VALUE!</v>
      </c>
      <c r="S18" t="e">
        <f>AND('Individual Rope Pairs'!D66,"AAAAAD28nxI=")</f>
        <v>#VALUE!</v>
      </c>
      <c r="T18" t="e">
        <f>AND('Individual Rope Pairs'!E66,"AAAAAD28nxM=")</f>
        <v>#VALUE!</v>
      </c>
      <c r="U18" t="e">
        <f>AND('Individual Rope Pairs'!F66,"AAAAAD28nxQ=")</f>
        <v>#VALUE!</v>
      </c>
      <c r="V18" t="e">
        <f>AND('Individual Rope Pairs'!G66,"AAAAAD28nxU=")</f>
        <v>#VALUE!</v>
      </c>
      <c r="W18" t="e">
        <f>AND('Individual Rope Pairs'!#REF!,"AAAAAD28nxY=")</f>
        <v>#REF!</v>
      </c>
      <c r="X18" t="e">
        <f>AND('Individual Rope Pairs'!#REF!,"AAAAAD28nxc=")</f>
        <v>#REF!</v>
      </c>
      <c r="Y18" t="e">
        <f>AND('Individual Rope Pairs'!H66,"AAAAAD28nxg=")</f>
        <v>#VALUE!</v>
      </c>
      <c r="Z18" t="e">
        <f>AND('Individual Rope Pairs'!I66,"AAAAAD28nxk=")</f>
        <v>#VALUE!</v>
      </c>
      <c r="AA18" t="e">
        <f>AND('Individual Rope Pairs'!J66,"AAAAAD28nxo=")</f>
        <v>#VALUE!</v>
      </c>
      <c r="AB18" t="e">
        <f>AND('Individual Rope Pairs'!K66,"AAAAAD28nxs=")</f>
        <v>#VALUE!</v>
      </c>
      <c r="AC18" t="str">
        <f>IF('Individual Rope Pairs'!A:A,"AAAAAD28nxw=",0)</f>
        <v>AAAAAD28nxw=</v>
      </c>
      <c r="AD18" t="e">
        <f>IF('Individual Rope Pairs'!B:B,"AAAAAD28nx0=",0)</f>
        <v>#VALUE!</v>
      </c>
      <c r="AE18" t="e">
        <f>IF('Individual Rope Pairs'!C:C,"AAAAAD28nx4=",0)</f>
        <v>#VALUE!</v>
      </c>
      <c r="AF18">
        <f>IF('Individual Rope Pairs'!D:D,"AAAAAD28nx8=",0)</f>
        <v>0</v>
      </c>
      <c r="AG18" t="e">
        <f>IF('Individual Rope Pairs'!E:E,"AAAAAD28nyA=",0)</f>
        <v>#VALUE!</v>
      </c>
      <c r="AH18">
        <f>IF('Individual Rope Pairs'!F:F,"AAAAAD28nyE=",0)</f>
        <v>0</v>
      </c>
      <c r="AI18" t="e">
        <f>IF('Individual Rope Pairs'!G:G,"AAAAAD28nyI=",0)</f>
        <v>#VALUE!</v>
      </c>
      <c r="AJ18" t="e">
        <f>IF('Individual Rope Pairs'!#REF!,"AAAAAD28nyM=",0)</f>
        <v>#REF!</v>
      </c>
      <c r="AK18" t="e">
        <f>IF('Individual Rope Pairs'!#REF!,"AAAAAD28nyQ=",0)</f>
        <v>#REF!</v>
      </c>
      <c r="AL18">
        <f>IF('Individual Rope Pairs'!H:H,"AAAAAD28nyU=",0)</f>
        <v>0</v>
      </c>
      <c r="AM18">
        <f>IF('Individual Rope Pairs'!I:I,"AAAAAD28nyY=",0)</f>
        <v>0</v>
      </c>
      <c r="AN18">
        <f>IF('Individual Rope Pairs'!J:J,"AAAAAD28nyc=",0)</f>
        <v>0</v>
      </c>
      <c r="AO18">
        <f>IF('Individual Rope Pairs'!K:K,"AAAAAD28nyg=",0)</f>
        <v>0</v>
      </c>
      <c r="AP18">
        <f>IF('4 Person Double Dutch'!1:1,"AAAAAD28nyk=",0)</f>
        <v>0</v>
      </c>
      <c r="AQ18" t="e">
        <f>AND('4 Person Double Dutch'!A1,"AAAAAD28nyo=")</f>
        <v>#VALUE!</v>
      </c>
      <c r="AR18" t="e">
        <f>AND('4 Person Double Dutch'!B1,"AAAAAD28nys=")</f>
        <v>#VALUE!</v>
      </c>
      <c r="AS18" t="e">
        <f>AND('4 Person Double Dutch'!C1,"AAAAAD28nyw=")</f>
        <v>#VALUE!</v>
      </c>
      <c r="AT18" t="e">
        <f>AND('4 Person Double Dutch'!D1,"AAAAAD28ny0=")</f>
        <v>#VALUE!</v>
      </c>
      <c r="AU18" t="e">
        <f>AND('4 Person Double Dutch'!E1,"AAAAAD28ny4=")</f>
        <v>#VALUE!</v>
      </c>
      <c r="AV18" t="e">
        <f>AND('4 Person Double Dutch'!F1,"AAAAAD28ny8=")</f>
        <v>#VALUE!</v>
      </c>
      <c r="AW18" t="e">
        <f>AND('4 Person Double Dutch'!G1,"AAAAAD28nzA=")</f>
        <v>#VALUE!</v>
      </c>
      <c r="AX18" t="e">
        <f>AND('4 Person Double Dutch'!H1,"AAAAAD28nzE=")</f>
        <v>#VALUE!</v>
      </c>
      <c r="AY18" t="e">
        <f>AND('4 Person Double Dutch'!I1,"AAAAAD28nzI=")</f>
        <v>#VALUE!</v>
      </c>
      <c r="AZ18" t="e">
        <f>AND('4 Person Double Dutch'!J1,"AAAAAD28nzM=")</f>
        <v>#VALUE!</v>
      </c>
      <c r="BA18" t="e">
        <f>AND('4 Person Double Dutch'!#REF!,"AAAAAD28nzQ=")</f>
        <v>#REF!</v>
      </c>
      <c r="BB18" t="e">
        <f>AND('4 Person Double Dutch'!#REF!,"AAAAAD28nzU=")</f>
        <v>#REF!</v>
      </c>
      <c r="BC18" t="e">
        <f>AND('4 Person Double Dutch'!K1,"AAAAAD28nzY=")</f>
        <v>#VALUE!</v>
      </c>
      <c r="BD18">
        <f>IF('4 Person Double Dutch'!2:2,"AAAAAD28nzc=",0)</f>
        <v>0</v>
      </c>
      <c r="BE18" t="e">
        <f>AND('4 Person Double Dutch'!A2,"AAAAAD28nzg=")</f>
        <v>#VALUE!</v>
      </c>
      <c r="BF18" t="e">
        <f>AND('4 Person Double Dutch'!B2,"AAAAAD28nzk=")</f>
        <v>#VALUE!</v>
      </c>
      <c r="BG18" t="e">
        <f>AND('4 Person Double Dutch'!C2,"AAAAAD28nzo=")</f>
        <v>#VALUE!</v>
      </c>
      <c r="BH18" t="e">
        <f>AND('4 Person Double Dutch'!D2,"AAAAAD28nzs=")</f>
        <v>#VALUE!</v>
      </c>
      <c r="BI18" t="e">
        <f>AND('4 Person Double Dutch'!E2,"AAAAAD28nzw=")</f>
        <v>#VALUE!</v>
      </c>
      <c r="BJ18" t="e">
        <f>AND('4 Person Double Dutch'!F2,"AAAAAD28nz0=")</f>
        <v>#VALUE!</v>
      </c>
      <c r="BK18" t="e">
        <f>AND('4 Person Double Dutch'!G2,"AAAAAD28nz4=")</f>
        <v>#VALUE!</v>
      </c>
      <c r="BL18" t="e">
        <f>AND('4 Person Double Dutch'!H2,"AAAAAD28nz8=")</f>
        <v>#VALUE!</v>
      </c>
      <c r="BM18" t="e">
        <f>AND('4 Person Double Dutch'!I2,"AAAAAD28n0A=")</f>
        <v>#VALUE!</v>
      </c>
      <c r="BN18" t="e">
        <f>AND('4 Person Double Dutch'!J2,"AAAAAD28n0E=")</f>
        <v>#VALUE!</v>
      </c>
      <c r="BO18" t="e">
        <f>AND('4 Person Double Dutch'!K2,"AAAAAD28n0I=")</f>
        <v>#VALUE!</v>
      </c>
      <c r="BP18" t="e">
        <f>AND('4 Person Double Dutch'!#REF!,"AAAAAD28n0M=")</f>
        <v>#REF!</v>
      </c>
      <c r="BQ18" t="e">
        <f>AND('4 Person Double Dutch'!#REF!,"AAAAAD28n0Q=")</f>
        <v>#REF!</v>
      </c>
      <c r="BR18">
        <f>IF('4 Person Double Dutch'!3:3,"AAAAAD28n0U=",0)</f>
        <v>0</v>
      </c>
      <c r="BS18" t="e">
        <f>AND('4 Person Double Dutch'!A3,"AAAAAD28n0Y=")</f>
        <v>#VALUE!</v>
      </c>
      <c r="BT18" t="e">
        <f>AND('4 Person Double Dutch'!B3,"AAAAAD28n0c=")</f>
        <v>#VALUE!</v>
      </c>
      <c r="BU18" t="e">
        <f>AND('4 Person Double Dutch'!C3,"AAAAAD28n0g=")</f>
        <v>#VALUE!</v>
      </c>
      <c r="BV18" t="e">
        <f>AND('4 Person Double Dutch'!D3,"AAAAAD28n0k=")</f>
        <v>#VALUE!</v>
      </c>
      <c r="BW18" t="e">
        <f>AND('4 Person Double Dutch'!E3,"AAAAAD28n0o=")</f>
        <v>#VALUE!</v>
      </c>
      <c r="BX18" t="e">
        <f>AND('4 Person Double Dutch'!F3,"AAAAAD28n0s=")</f>
        <v>#VALUE!</v>
      </c>
      <c r="BY18" t="e">
        <f>AND('4 Person Double Dutch'!G3,"AAAAAD28n0w=")</f>
        <v>#VALUE!</v>
      </c>
      <c r="BZ18" t="e">
        <f>AND('4 Person Double Dutch'!H3,"AAAAAD28n00=")</f>
        <v>#VALUE!</v>
      </c>
      <c r="CA18" t="e">
        <f>AND('4 Person Double Dutch'!I3,"AAAAAD28n04=")</f>
        <v>#VALUE!</v>
      </c>
      <c r="CB18" t="e">
        <f>AND('4 Person Double Dutch'!J3,"AAAAAD28n08=")</f>
        <v>#VALUE!</v>
      </c>
      <c r="CC18" t="e">
        <f>AND('4 Person Double Dutch'!K3,"AAAAAD28n1A=")</f>
        <v>#VALUE!</v>
      </c>
      <c r="CD18" t="e">
        <f>AND('4 Person Double Dutch'!#REF!,"AAAAAD28n1E=")</f>
        <v>#REF!</v>
      </c>
      <c r="CE18" t="e">
        <f>AND('4 Person Double Dutch'!#REF!,"AAAAAD28n1I=")</f>
        <v>#REF!</v>
      </c>
      <c r="CF18">
        <f>IF('4 Person Double Dutch'!4:4,"AAAAAD28n1M=",0)</f>
        <v>0</v>
      </c>
      <c r="CG18" t="e">
        <f>AND('4 Person Double Dutch'!A4,"AAAAAD28n1Q=")</f>
        <v>#VALUE!</v>
      </c>
      <c r="CH18" t="e">
        <f>AND('4 Person Double Dutch'!B4,"AAAAAD28n1U=")</f>
        <v>#VALUE!</v>
      </c>
      <c r="CI18" t="e">
        <f>AND('4 Person Double Dutch'!C4,"AAAAAD28n1Y=")</f>
        <v>#VALUE!</v>
      </c>
      <c r="CJ18" t="e">
        <f>AND('4 Person Double Dutch'!D4,"AAAAAD28n1c=")</f>
        <v>#VALUE!</v>
      </c>
      <c r="CK18" t="e">
        <f>AND('4 Person Double Dutch'!E4,"AAAAAD28n1g=")</f>
        <v>#VALUE!</v>
      </c>
      <c r="CL18" t="e">
        <f>AND('4 Person Double Dutch'!F4,"AAAAAD28n1k=")</f>
        <v>#VALUE!</v>
      </c>
      <c r="CM18" t="e">
        <f>AND('4 Person Double Dutch'!G4,"AAAAAD28n1o=")</f>
        <v>#VALUE!</v>
      </c>
      <c r="CN18" t="e">
        <f>AND('4 Person Double Dutch'!H4,"AAAAAD28n1s=")</f>
        <v>#VALUE!</v>
      </c>
      <c r="CO18" t="e">
        <f>AND('4 Person Double Dutch'!I4,"AAAAAD28n1w=")</f>
        <v>#VALUE!</v>
      </c>
      <c r="CP18" t="e">
        <f>AND('4 Person Double Dutch'!J4,"AAAAAD28n10=")</f>
        <v>#VALUE!</v>
      </c>
      <c r="CQ18" t="e">
        <f>AND('4 Person Double Dutch'!K4,"AAAAAD28n14=")</f>
        <v>#VALUE!</v>
      </c>
      <c r="CR18" t="e">
        <f>AND('4 Person Double Dutch'!#REF!,"AAAAAD28n18=")</f>
        <v>#REF!</v>
      </c>
      <c r="CS18" t="e">
        <f>AND('4 Person Double Dutch'!#REF!,"AAAAAD28n2A=")</f>
        <v>#REF!</v>
      </c>
      <c r="CT18">
        <f>IF('4 Person Double Dutch'!5:5,"AAAAAD28n2E=",0)</f>
        <v>0</v>
      </c>
      <c r="CU18" t="b">
        <f>AND('4 Person Double Dutch'!A5,"AAAAAD28n2I=")</f>
        <v>1</v>
      </c>
      <c r="CV18" t="e">
        <f>AND('4 Person Double Dutch'!B5,"AAAAAD28n2M=")</f>
        <v>#VALUE!</v>
      </c>
      <c r="CW18" t="e">
        <f>AND('4 Person Double Dutch'!C5,"AAAAAD28n2Q=")</f>
        <v>#VALUE!</v>
      </c>
      <c r="CX18" t="e">
        <f>AND('4 Person Double Dutch'!D5,"AAAAAD28n2U=")</f>
        <v>#VALUE!</v>
      </c>
      <c r="CY18" t="e">
        <f>AND('4 Person Double Dutch'!E5,"AAAAAD28n2Y=")</f>
        <v>#VALUE!</v>
      </c>
      <c r="CZ18" t="e">
        <f>AND('4 Person Double Dutch'!F5,"AAAAAD28n2c=")</f>
        <v>#VALUE!</v>
      </c>
      <c r="DA18" t="e">
        <f>AND('4 Person Double Dutch'!G5,"AAAAAD28n2g=")</f>
        <v>#VALUE!</v>
      </c>
      <c r="DB18" t="e">
        <f>AND('4 Person Double Dutch'!H5,"AAAAAD28n2k=")</f>
        <v>#VALUE!</v>
      </c>
      <c r="DC18" t="e">
        <f>AND('4 Person Double Dutch'!I5,"AAAAAD28n2o=")</f>
        <v>#VALUE!</v>
      </c>
      <c r="DD18" t="e">
        <f>AND('4 Person Double Dutch'!J5,"AAAAAD28n2s=")</f>
        <v>#VALUE!</v>
      </c>
      <c r="DE18" t="e">
        <f>AND('4 Person Double Dutch'!K5,"AAAAAD28n2w=")</f>
        <v>#VALUE!</v>
      </c>
      <c r="DF18" t="e">
        <f>AND('4 Person Double Dutch'!#REF!,"AAAAAD28n20=")</f>
        <v>#REF!</v>
      </c>
      <c r="DG18" t="e">
        <f>AND('4 Person Double Dutch'!#REF!,"AAAAAD28n24=")</f>
        <v>#REF!</v>
      </c>
      <c r="DH18">
        <f>IF('4 Person Double Dutch'!6:6,"AAAAAD28n28=",0)</f>
        <v>0</v>
      </c>
      <c r="DI18" t="b">
        <f>AND('4 Person Double Dutch'!A6,"AAAAAD28n3A=")</f>
        <v>1</v>
      </c>
      <c r="DJ18" t="e">
        <f>AND('4 Person Double Dutch'!B6,"AAAAAD28n3E=")</f>
        <v>#VALUE!</v>
      </c>
      <c r="DK18" t="e">
        <f>AND('4 Person Double Dutch'!C6,"AAAAAD28n3I=")</f>
        <v>#VALUE!</v>
      </c>
      <c r="DL18" t="e">
        <f>AND('4 Person Double Dutch'!D6,"AAAAAD28n3M=")</f>
        <v>#VALUE!</v>
      </c>
      <c r="DM18" t="e">
        <f>AND('4 Person Double Dutch'!E6,"AAAAAD28n3Q=")</f>
        <v>#VALUE!</v>
      </c>
      <c r="DN18" t="e">
        <f>AND('4 Person Double Dutch'!F6,"AAAAAD28n3U=")</f>
        <v>#VALUE!</v>
      </c>
      <c r="DO18" t="e">
        <f>AND('4 Person Double Dutch'!G6,"AAAAAD28n3Y=")</f>
        <v>#VALUE!</v>
      </c>
      <c r="DP18" t="e">
        <f>AND('4 Person Double Dutch'!H6,"AAAAAD28n3c=")</f>
        <v>#VALUE!</v>
      </c>
      <c r="DQ18" t="e">
        <f>AND('4 Person Double Dutch'!I6,"AAAAAD28n3g=")</f>
        <v>#VALUE!</v>
      </c>
      <c r="DR18" t="e">
        <f>AND('4 Person Double Dutch'!J6,"AAAAAD28n3k=")</f>
        <v>#VALUE!</v>
      </c>
      <c r="DS18" t="e">
        <f>AND('4 Person Double Dutch'!K6,"AAAAAD28n3o=")</f>
        <v>#VALUE!</v>
      </c>
      <c r="DT18" t="e">
        <f>AND('4 Person Double Dutch'!#REF!,"AAAAAD28n3s=")</f>
        <v>#REF!</v>
      </c>
      <c r="DU18" t="e">
        <f>AND('4 Person Double Dutch'!#REF!,"AAAAAD28n3w=")</f>
        <v>#REF!</v>
      </c>
      <c r="DV18">
        <f>IF('4 Person Double Dutch'!7:7,"AAAAAD28n30=",0)</f>
        <v>0</v>
      </c>
      <c r="DW18" t="b">
        <f>AND('4 Person Double Dutch'!A7,"AAAAAD28n34=")</f>
        <v>1</v>
      </c>
      <c r="DX18" t="e">
        <f>AND('4 Person Double Dutch'!B7,"AAAAAD28n38=")</f>
        <v>#VALUE!</v>
      </c>
      <c r="DY18" t="e">
        <f>AND('4 Person Double Dutch'!C7,"AAAAAD28n4A=")</f>
        <v>#VALUE!</v>
      </c>
      <c r="DZ18" t="e">
        <f>AND('4 Person Double Dutch'!D7,"AAAAAD28n4E=")</f>
        <v>#VALUE!</v>
      </c>
      <c r="EA18" t="e">
        <f>AND('4 Person Double Dutch'!E7,"AAAAAD28n4I=")</f>
        <v>#VALUE!</v>
      </c>
      <c r="EB18" t="e">
        <f>AND('4 Person Double Dutch'!F7,"AAAAAD28n4M=")</f>
        <v>#VALUE!</v>
      </c>
      <c r="EC18" t="e">
        <f>AND('4 Person Double Dutch'!G7,"AAAAAD28n4Q=")</f>
        <v>#VALUE!</v>
      </c>
      <c r="ED18" t="e">
        <f>AND('4 Person Double Dutch'!H7,"AAAAAD28n4U=")</f>
        <v>#VALUE!</v>
      </c>
      <c r="EE18" t="e">
        <f>AND('4 Person Double Dutch'!I7,"AAAAAD28n4Y=")</f>
        <v>#VALUE!</v>
      </c>
      <c r="EF18" t="e">
        <f>AND('4 Person Double Dutch'!J7,"AAAAAD28n4c=")</f>
        <v>#VALUE!</v>
      </c>
      <c r="EG18" t="e">
        <f>AND('4 Person Double Dutch'!K7,"AAAAAD28n4g=")</f>
        <v>#VALUE!</v>
      </c>
      <c r="EH18" t="e">
        <f>AND('4 Person Double Dutch'!#REF!,"AAAAAD28n4k=")</f>
        <v>#REF!</v>
      </c>
      <c r="EI18" t="e">
        <f>AND('4 Person Double Dutch'!#REF!,"AAAAAD28n4o=")</f>
        <v>#REF!</v>
      </c>
      <c r="EJ18">
        <f>IF('4 Person Double Dutch'!8:8,"AAAAAD28n4s=",0)</f>
        <v>0</v>
      </c>
      <c r="EK18" t="b">
        <f>AND('4 Person Double Dutch'!A8,"AAAAAD28n4w=")</f>
        <v>1</v>
      </c>
      <c r="EL18" t="e">
        <f>AND('4 Person Double Dutch'!B8,"AAAAAD28n40=")</f>
        <v>#VALUE!</v>
      </c>
      <c r="EM18" t="e">
        <f>AND('4 Person Double Dutch'!C8,"AAAAAD28n44=")</f>
        <v>#VALUE!</v>
      </c>
      <c r="EN18" t="e">
        <f>AND('4 Person Double Dutch'!D8,"AAAAAD28n48=")</f>
        <v>#VALUE!</v>
      </c>
      <c r="EO18" t="e">
        <f>AND('4 Person Double Dutch'!E8,"AAAAAD28n5A=")</f>
        <v>#VALUE!</v>
      </c>
      <c r="EP18" t="e">
        <f>AND('4 Person Double Dutch'!F8,"AAAAAD28n5E=")</f>
        <v>#VALUE!</v>
      </c>
      <c r="EQ18" t="e">
        <f>AND('4 Person Double Dutch'!G8,"AAAAAD28n5I=")</f>
        <v>#VALUE!</v>
      </c>
      <c r="ER18" t="e">
        <f>AND('4 Person Double Dutch'!H8,"AAAAAD28n5M=")</f>
        <v>#VALUE!</v>
      </c>
      <c r="ES18" t="e">
        <f>AND('4 Person Double Dutch'!I8,"AAAAAD28n5Q=")</f>
        <v>#VALUE!</v>
      </c>
      <c r="ET18" t="e">
        <f>AND('4 Person Double Dutch'!J8,"AAAAAD28n5U=")</f>
        <v>#VALUE!</v>
      </c>
      <c r="EU18" t="e">
        <f>AND('4 Person Double Dutch'!K8,"AAAAAD28n5Y=")</f>
        <v>#VALUE!</v>
      </c>
      <c r="EV18" t="e">
        <f>AND('4 Person Double Dutch'!#REF!,"AAAAAD28n5c=")</f>
        <v>#REF!</v>
      </c>
      <c r="EW18" t="e">
        <f>AND('4 Person Double Dutch'!#REF!,"AAAAAD28n5g=")</f>
        <v>#REF!</v>
      </c>
      <c r="EX18">
        <f>IF('4 Person Double Dutch'!9:9,"AAAAAD28n5k=",0)</f>
        <v>0</v>
      </c>
      <c r="EY18" t="b">
        <f>AND('4 Person Double Dutch'!A9,"AAAAAD28n5o=")</f>
        <v>1</v>
      </c>
      <c r="EZ18" t="e">
        <f>AND('4 Person Double Dutch'!B9,"AAAAAD28n5s=")</f>
        <v>#VALUE!</v>
      </c>
      <c r="FA18" t="e">
        <f>AND('4 Person Double Dutch'!C9,"AAAAAD28n5w=")</f>
        <v>#VALUE!</v>
      </c>
      <c r="FB18" t="e">
        <f>AND('4 Person Double Dutch'!D9,"AAAAAD28n50=")</f>
        <v>#VALUE!</v>
      </c>
      <c r="FC18" t="e">
        <f>AND('4 Person Double Dutch'!E9,"AAAAAD28n54=")</f>
        <v>#VALUE!</v>
      </c>
      <c r="FD18" t="e">
        <f>AND('4 Person Double Dutch'!F9,"AAAAAD28n58=")</f>
        <v>#VALUE!</v>
      </c>
      <c r="FE18" t="e">
        <f>AND('4 Person Double Dutch'!G9,"AAAAAD28n6A=")</f>
        <v>#VALUE!</v>
      </c>
      <c r="FF18" t="e">
        <f>AND('4 Person Double Dutch'!H9,"AAAAAD28n6E=")</f>
        <v>#VALUE!</v>
      </c>
      <c r="FG18" t="e">
        <f>AND('4 Person Double Dutch'!I9,"AAAAAD28n6I=")</f>
        <v>#VALUE!</v>
      </c>
      <c r="FH18" t="e">
        <f>AND('4 Person Double Dutch'!J9,"AAAAAD28n6M=")</f>
        <v>#VALUE!</v>
      </c>
      <c r="FI18" t="e">
        <f>AND('4 Person Double Dutch'!K9,"AAAAAD28n6Q=")</f>
        <v>#VALUE!</v>
      </c>
      <c r="FJ18" t="e">
        <f>AND('4 Person Double Dutch'!#REF!,"AAAAAD28n6U=")</f>
        <v>#REF!</v>
      </c>
      <c r="FK18" t="e">
        <f>AND('4 Person Double Dutch'!#REF!,"AAAAAD28n6Y=")</f>
        <v>#REF!</v>
      </c>
      <c r="FL18">
        <f>IF('4 Person Double Dutch'!10:10,"AAAAAD28n6c=",0)</f>
        <v>0</v>
      </c>
      <c r="FM18" t="b">
        <f>AND('4 Person Double Dutch'!A10,"AAAAAD28n6g=")</f>
        <v>1</v>
      </c>
      <c r="FN18" t="e">
        <f>AND('4 Person Double Dutch'!B10,"AAAAAD28n6k=")</f>
        <v>#VALUE!</v>
      </c>
      <c r="FO18" t="e">
        <f>AND('4 Person Double Dutch'!C10,"AAAAAD28n6o=")</f>
        <v>#VALUE!</v>
      </c>
      <c r="FP18" t="e">
        <f>AND('4 Person Double Dutch'!D10,"AAAAAD28n6s=")</f>
        <v>#VALUE!</v>
      </c>
      <c r="FQ18" t="e">
        <f>AND('4 Person Double Dutch'!E10,"AAAAAD28n6w=")</f>
        <v>#VALUE!</v>
      </c>
      <c r="FR18" t="e">
        <f>AND('4 Person Double Dutch'!F10,"AAAAAD28n60=")</f>
        <v>#VALUE!</v>
      </c>
      <c r="FS18" t="e">
        <f>AND('4 Person Double Dutch'!G10,"AAAAAD28n64=")</f>
        <v>#VALUE!</v>
      </c>
      <c r="FT18" t="e">
        <f>AND('4 Person Double Dutch'!H10,"AAAAAD28n68=")</f>
        <v>#VALUE!</v>
      </c>
      <c r="FU18" t="e">
        <f>AND('4 Person Double Dutch'!I10,"AAAAAD28n7A=")</f>
        <v>#VALUE!</v>
      </c>
      <c r="FV18" t="e">
        <f>AND('4 Person Double Dutch'!J10,"AAAAAD28n7E=")</f>
        <v>#VALUE!</v>
      </c>
      <c r="FW18" t="e">
        <f>AND('4 Person Double Dutch'!K10,"AAAAAD28n7I=")</f>
        <v>#VALUE!</v>
      </c>
      <c r="FX18" t="e">
        <f>AND('4 Person Double Dutch'!#REF!,"AAAAAD28n7M=")</f>
        <v>#REF!</v>
      </c>
      <c r="FY18" t="e">
        <f>AND('4 Person Double Dutch'!#REF!,"AAAAAD28n7Q=")</f>
        <v>#REF!</v>
      </c>
      <c r="FZ18">
        <f>IF('4 Person Double Dutch'!11:11,"AAAAAD28n7U=",0)</f>
        <v>0</v>
      </c>
      <c r="GA18" t="b">
        <f>AND('4 Person Double Dutch'!A11,"AAAAAD28n7Y=")</f>
        <v>1</v>
      </c>
      <c r="GB18" t="e">
        <f>AND('4 Person Double Dutch'!B11,"AAAAAD28n7c=")</f>
        <v>#VALUE!</v>
      </c>
      <c r="GC18" t="e">
        <f>AND('4 Person Double Dutch'!C11,"AAAAAD28n7g=")</f>
        <v>#VALUE!</v>
      </c>
      <c r="GD18" t="e">
        <f>AND('4 Person Double Dutch'!D11,"AAAAAD28n7k=")</f>
        <v>#VALUE!</v>
      </c>
      <c r="GE18" t="e">
        <f>AND('4 Person Double Dutch'!E11,"AAAAAD28n7o=")</f>
        <v>#VALUE!</v>
      </c>
      <c r="GF18" t="e">
        <f>AND('4 Person Double Dutch'!F11,"AAAAAD28n7s=")</f>
        <v>#VALUE!</v>
      </c>
      <c r="GG18" t="e">
        <f>AND('4 Person Double Dutch'!G11,"AAAAAD28n7w=")</f>
        <v>#VALUE!</v>
      </c>
      <c r="GH18" t="e">
        <f>AND('4 Person Double Dutch'!H11,"AAAAAD28n70=")</f>
        <v>#VALUE!</v>
      </c>
      <c r="GI18" t="e">
        <f>AND('4 Person Double Dutch'!I11,"AAAAAD28n74=")</f>
        <v>#VALUE!</v>
      </c>
      <c r="GJ18" t="e">
        <f>AND('4 Person Double Dutch'!J11,"AAAAAD28n78=")</f>
        <v>#VALUE!</v>
      </c>
      <c r="GK18" t="e">
        <f>AND('4 Person Double Dutch'!K11,"AAAAAD28n8A=")</f>
        <v>#VALUE!</v>
      </c>
      <c r="GL18" t="e">
        <f>AND('4 Person Double Dutch'!#REF!,"AAAAAD28n8E=")</f>
        <v>#REF!</v>
      </c>
      <c r="GM18" t="e">
        <f>AND('4 Person Double Dutch'!#REF!,"AAAAAD28n8I=")</f>
        <v>#REF!</v>
      </c>
      <c r="GN18">
        <f>IF('4 Person Double Dutch'!12:12,"AAAAAD28n8M=",0)</f>
        <v>0</v>
      </c>
      <c r="GO18" t="b">
        <f>AND('4 Person Double Dutch'!A12,"AAAAAD28n8Q=")</f>
        <v>1</v>
      </c>
      <c r="GP18" t="e">
        <f>AND('4 Person Double Dutch'!B12,"AAAAAD28n8U=")</f>
        <v>#VALUE!</v>
      </c>
      <c r="GQ18" t="e">
        <f>AND('4 Person Double Dutch'!C12,"AAAAAD28n8Y=")</f>
        <v>#VALUE!</v>
      </c>
      <c r="GR18" t="e">
        <f>AND('4 Person Double Dutch'!D12,"AAAAAD28n8c=")</f>
        <v>#VALUE!</v>
      </c>
      <c r="GS18" t="e">
        <f>AND('4 Person Double Dutch'!E12,"AAAAAD28n8g=")</f>
        <v>#VALUE!</v>
      </c>
      <c r="GT18" t="e">
        <f>AND('4 Person Double Dutch'!F12,"AAAAAD28n8k=")</f>
        <v>#VALUE!</v>
      </c>
      <c r="GU18" t="e">
        <f>AND('4 Person Double Dutch'!G12,"AAAAAD28n8o=")</f>
        <v>#VALUE!</v>
      </c>
      <c r="GV18" t="e">
        <f>AND('4 Person Double Dutch'!H12,"AAAAAD28n8s=")</f>
        <v>#VALUE!</v>
      </c>
      <c r="GW18" t="e">
        <f>AND('4 Person Double Dutch'!I12,"AAAAAD28n8w=")</f>
        <v>#VALUE!</v>
      </c>
      <c r="GX18" t="e">
        <f>AND('4 Person Double Dutch'!J12,"AAAAAD28n80=")</f>
        <v>#VALUE!</v>
      </c>
      <c r="GY18" t="e">
        <f>AND('4 Person Double Dutch'!K12,"AAAAAD28n84=")</f>
        <v>#VALUE!</v>
      </c>
      <c r="GZ18" t="e">
        <f>AND('4 Person Double Dutch'!#REF!,"AAAAAD28n88=")</f>
        <v>#REF!</v>
      </c>
      <c r="HA18" t="e">
        <f>AND('4 Person Double Dutch'!#REF!,"AAAAAD28n9A=")</f>
        <v>#REF!</v>
      </c>
      <c r="HB18">
        <f>IF('4 Person Double Dutch'!13:13,"AAAAAD28n9E=",0)</f>
        <v>0</v>
      </c>
      <c r="HC18" t="e">
        <f>AND('4 Person Double Dutch'!A13,"AAAAAD28n9I=")</f>
        <v>#VALUE!</v>
      </c>
      <c r="HD18" t="e">
        <f>AND('4 Person Double Dutch'!B13,"AAAAAD28n9M=")</f>
        <v>#VALUE!</v>
      </c>
      <c r="HE18" t="e">
        <f>AND('4 Person Double Dutch'!C13,"AAAAAD28n9Q=")</f>
        <v>#VALUE!</v>
      </c>
      <c r="HF18" t="e">
        <f>AND('4 Person Double Dutch'!D13,"AAAAAD28n9U=")</f>
        <v>#VALUE!</v>
      </c>
      <c r="HG18" t="e">
        <f>AND('4 Person Double Dutch'!E13,"AAAAAD28n9Y=")</f>
        <v>#VALUE!</v>
      </c>
      <c r="HH18" t="e">
        <f>AND('4 Person Double Dutch'!F13,"AAAAAD28n9c=")</f>
        <v>#VALUE!</v>
      </c>
      <c r="HI18" t="e">
        <f>AND('4 Person Double Dutch'!G13,"AAAAAD28n9g=")</f>
        <v>#VALUE!</v>
      </c>
      <c r="HJ18" t="e">
        <f>AND('4 Person Double Dutch'!H13,"AAAAAD28n9k=")</f>
        <v>#VALUE!</v>
      </c>
      <c r="HK18" t="e">
        <f>AND('4 Person Double Dutch'!I13,"AAAAAD28n9o=")</f>
        <v>#VALUE!</v>
      </c>
      <c r="HL18" t="e">
        <f>AND('4 Person Double Dutch'!J13,"AAAAAD28n9s=")</f>
        <v>#VALUE!</v>
      </c>
      <c r="HM18" t="e">
        <f>AND('4 Person Double Dutch'!K13,"AAAAAD28n9w=")</f>
        <v>#VALUE!</v>
      </c>
      <c r="HN18" t="e">
        <f>AND('4 Person Double Dutch'!#REF!,"AAAAAD28n90=")</f>
        <v>#REF!</v>
      </c>
      <c r="HO18" t="e">
        <f>AND('4 Person Double Dutch'!#REF!,"AAAAAD28n94=")</f>
        <v>#REF!</v>
      </c>
      <c r="HP18">
        <f>IF('4 Person Double Dutch'!14:14,"AAAAAD28n98=",0)</f>
        <v>0</v>
      </c>
      <c r="HQ18" t="e">
        <f>AND('4 Person Double Dutch'!A14,"AAAAAD28n+A=")</f>
        <v>#VALUE!</v>
      </c>
      <c r="HR18" t="e">
        <f>AND('4 Person Double Dutch'!B14,"AAAAAD28n+E=")</f>
        <v>#VALUE!</v>
      </c>
      <c r="HS18" t="e">
        <f>AND('4 Person Double Dutch'!C14,"AAAAAD28n+I=")</f>
        <v>#VALUE!</v>
      </c>
      <c r="HT18" t="e">
        <f>AND('4 Person Double Dutch'!D14,"AAAAAD28n+M=")</f>
        <v>#VALUE!</v>
      </c>
      <c r="HU18" t="e">
        <f>AND('4 Person Double Dutch'!E14,"AAAAAD28n+Q=")</f>
        <v>#VALUE!</v>
      </c>
      <c r="HV18" t="e">
        <f>AND('4 Person Double Dutch'!F14,"AAAAAD28n+U=")</f>
        <v>#VALUE!</v>
      </c>
      <c r="HW18" t="e">
        <f>AND('4 Person Double Dutch'!G14,"AAAAAD28n+Y=")</f>
        <v>#VALUE!</v>
      </c>
      <c r="HX18" t="e">
        <f>AND('4 Person Double Dutch'!H14,"AAAAAD28n+c=")</f>
        <v>#VALUE!</v>
      </c>
      <c r="HY18" t="e">
        <f>AND('4 Person Double Dutch'!I14,"AAAAAD28n+g=")</f>
        <v>#VALUE!</v>
      </c>
      <c r="HZ18" t="e">
        <f>AND('4 Person Double Dutch'!J14,"AAAAAD28n+k=")</f>
        <v>#VALUE!</v>
      </c>
      <c r="IA18" t="e">
        <f>AND('4 Person Double Dutch'!K14,"AAAAAD28n+o=")</f>
        <v>#VALUE!</v>
      </c>
      <c r="IB18" t="e">
        <f>AND('4 Person Double Dutch'!#REF!,"AAAAAD28n+s=")</f>
        <v>#REF!</v>
      </c>
      <c r="IC18" t="e">
        <f>AND('4 Person Double Dutch'!#REF!,"AAAAAD28n+w=")</f>
        <v>#REF!</v>
      </c>
      <c r="ID18">
        <f>IF('4 Person Double Dutch'!15:15,"AAAAAD28n+0=",0)</f>
        <v>0</v>
      </c>
      <c r="IE18" t="b">
        <f>AND('4 Person Double Dutch'!A15,"AAAAAD28n+4=")</f>
        <v>1</v>
      </c>
      <c r="IF18" t="e">
        <f>AND('4 Person Double Dutch'!B15,"AAAAAD28n+8=")</f>
        <v>#VALUE!</v>
      </c>
      <c r="IG18" t="e">
        <f>AND('4 Person Double Dutch'!C15,"AAAAAD28n/A=")</f>
        <v>#VALUE!</v>
      </c>
      <c r="IH18" t="e">
        <f>AND('4 Person Double Dutch'!D15,"AAAAAD28n/E=")</f>
        <v>#VALUE!</v>
      </c>
      <c r="II18" t="e">
        <f>AND('4 Person Double Dutch'!E15,"AAAAAD28n/I=")</f>
        <v>#VALUE!</v>
      </c>
      <c r="IJ18" t="e">
        <f>AND('4 Person Double Dutch'!F15,"AAAAAD28n/M=")</f>
        <v>#VALUE!</v>
      </c>
      <c r="IK18" t="e">
        <f>AND('4 Person Double Dutch'!G15,"AAAAAD28n/Q=")</f>
        <v>#VALUE!</v>
      </c>
      <c r="IL18" t="e">
        <f>AND('4 Person Double Dutch'!H15,"AAAAAD28n/U=")</f>
        <v>#VALUE!</v>
      </c>
      <c r="IM18" t="e">
        <f>AND('4 Person Double Dutch'!I15,"AAAAAD28n/Y=")</f>
        <v>#VALUE!</v>
      </c>
      <c r="IN18" t="e">
        <f>AND('4 Person Double Dutch'!J15,"AAAAAD28n/c=")</f>
        <v>#VALUE!</v>
      </c>
      <c r="IO18" t="e">
        <f>AND('4 Person Double Dutch'!K15,"AAAAAD28n/g=")</f>
        <v>#VALUE!</v>
      </c>
      <c r="IP18" t="e">
        <f>AND('4 Person Double Dutch'!#REF!,"AAAAAD28n/k=")</f>
        <v>#REF!</v>
      </c>
      <c r="IQ18" t="e">
        <f>AND('4 Person Double Dutch'!#REF!,"AAAAAD28n/o=")</f>
        <v>#REF!</v>
      </c>
      <c r="IR18">
        <f>IF('4 Person Double Dutch'!16:16,"AAAAAD28n/s=",0)</f>
        <v>0</v>
      </c>
      <c r="IS18" t="b">
        <f>AND('4 Person Double Dutch'!A16,"AAAAAD28n/w=")</f>
        <v>1</v>
      </c>
      <c r="IT18" t="e">
        <f>AND('4 Person Double Dutch'!B16,"AAAAAD28n/0=")</f>
        <v>#VALUE!</v>
      </c>
      <c r="IU18" t="e">
        <f>AND('4 Person Double Dutch'!C16,"AAAAAD28n/4=")</f>
        <v>#VALUE!</v>
      </c>
      <c r="IV18" t="e">
        <f>AND('4 Person Double Dutch'!D16,"AAAAAD28n/8=")</f>
        <v>#VALUE!</v>
      </c>
    </row>
    <row r="19" spans="1:256" x14ac:dyDescent="0.25">
      <c r="A19" t="e">
        <f>AND('4 Person Double Dutch'!E16,"AAAAAH/Z/wA=")</f>
        <v>#VALUE!</v>
      </c>
      <c r="B19" t="e">
        <f>AND('4 Person Double Dutch'!F16,"AAAAAH/Z/wE=")</f>
        <v>#VALUE!</v>
      </c>
      <c r="C19" t="e">
        <f>AND('4 Person Double Dutch'!G16,"AAAAAH/Z/wI=")</f>
        <v>#VALUE!</v>
      </c>
      <c r="D19" t="e">
        <f>AND('4 Person Double Dutch'!H16,"AAAAAH/Z/wM=")</f>
        <v>#VALUE!</v>
      </c>
      <c r="E19" t="e">
        <f>AND('4 Person Double Dutch'!I16,"AAAAAH/Z/wQ=")</f>
        <v>#VALUE!</v>
      </c>
      <c r="F19" t="e">
        <f>AND('4 Person Double Dutch'!J16,"AAAAAH/Z/wU=")</f>
        <v>#VALUE!</v>
      </c>
      <c r="G19" t="e">
        <f>AND('4 Person Double Dutch'!K16,"AAAAAH/Z/wY=")</f>
        <v>#VALUE!</v>
      </c>
      <c r="H19" t="e">
        <f>AND('4 Person Double Dutch'!#REF!,"AAAAAH/Z/wc=")</f>
        <v>#REF!</v>
      </c>
      <c r="I19" t="e">
        <f>AND('4 Person Double Dutch'!#REF!,"AAAAAH/Z/wg=")</f>
        <v>#REF!</v>
      </c>
      <c r="J19">
        <f>IF('4 Person Double Dutch'!17:17,"AAAAAH/Z/wk=",0)</f>
        <v>0</v>
      </c>
      <c r="K19" t="b">
        <f>AND('4 Person Double Dutch'!A17,"AAAAAH/Z/wo=")</f>
        <v>1</v>
      </c>
      <c r="L19" t="e">
        <f>AND('4 Person Double Dutch'!B17,"AAAAAH/Z/ws=")</f>
        <v>#VALUE!</v>
      </c>
      <c r="M19" t="e">
        <f>AND('4 Person Double Dutch'!C17,"AAAAAH/Z/ww=")</f>
        <v>#VALUE!</v>
      </c>
      <c r="N19" t="e">
        <f>AND('4 Person Double Dutch'!D17,"AAAAAH/Z/w0=")</f>
        <v>#VALUE!</v>
      </c>
      <c r="O19" t="e">
        <f>AND('4 Person Double Dutch'!E17,"AAAAAH/Z/w4=")</f>
        <v>#VALUE!</v>
      </c>
      <c r="P19" t="e">
        <f>AND('4 Person Double Dutch'!F17,"AAAAAH/Z/w8=")</f>
        <v>#VALUE!</v>
      </c>
      <c r="Q19" t="e">
        <f>AND('4 Person Double Dutch'!G17,"AAAAAH/Z/xA=")</f>
        <v>#VALUE!</v>
      </c>
      <c r="R19" t="e">
        <f>AND('4 Person Double Dutch'!H17,"AAAAAH/Z/xE=")</f>
        <v>#VALUE!</v>
      </c>
      <c r="S19" t="e">
        <f>AND('4 Person Double Dutch'!I17,"AAAAAH/Z/xI=")</f>
        <v>#VALUE!</v>
      </c>
      <c r="T19" t="e">
        <f>AND('4 Person Double Dutch'!J17,"AAAAAH/Z/xM=")</f>
        <v>#VALUE!</v>
      </c>
      <c r="U19" t="e">
        <f>AND('4 Person Double Dutch'!K17,"AAAAAH/Z/xQ=")</f>
        <v>#VALUE!</v>
      </c>
      <c r="V19" t="e">
        <f>AND('4 Person Double Dutch'!#REF!,"AAAAAH/Z/xU=")</f>
        <v>#REF!</v>
      </c>
      <c r="W19" t="e">
        <f>AND('4 Person Double Dutch'!#REF!,"AAAAAH/Z/xY=")</f>
        <v>#REF!</v>
      </c>
      <c r="X19">
        <f>IF('4 Person Double Dutch'!18:18,"AAAAAH/Z/xc=",0)</f>
        <v>0</v>
      </c>
      <c r="Y19" t="b">
        <f>AND('4 Person Double Dutch'!A18,"AAAAAH/Z/xg=")</f>
        <v>1</v>
      </c>
      <c r="Z19" t="e">
        <f>AND('4 Person Double Dutch'!B18,"AAAAAH/Z/xk=")</f>
        <v>#VALUE!</v>
      </c>
      <c r="AA19" t="e">
        <f>AND('4 Person Double Dutch'!C18,"AAAAAH/Z/xo=")</f>
        <v>#VALUE!</v>
      </c>
      <c r="AB19" t="e">
        <f>AND('4 Person Double Dutch'!D18,"AAAAAH/Z/xs=")</f>
        <v>#VALUE!</v>
      </c>
      <c r="AC19" t="e">
        <f>AND('4 Person Double Dutch'!E18,"AAAAAH/Z/xw=")</f>
        <v>#VALUE!</v>
      </c>
      <c r="AD19" t="e">
        <f>AND('4 Person Double Dutch'!F18,"AAAAAH/Z/x0=")</f>
        <v>#VALUE!</v>
      </c>
      <c r="AE19" t="e">
        <f>AND('4 Person Double Dutch'!G18,"AAAAAH/Z/x4=")</f>
        <v>#VALUE!</v>
      </c>
      <c r="AF19" t="e">
        <f>AND('4 Person Double Dutch'!H18,"AAAAAH/Z/x8=")</f>
        <v>#VALUE!</v>
      </c>
      <c r="AG19" t="e">
        <f>AND('4 Person Double Dutch'!I18,"AAAAAH/Z/yA=")</f>
        <v>#VALUE!</v>
      </c>
      <c r="AH19" t="e">
        <f>AND('4 Person Double Dutch'!J18,"AAAAAH/Z/yE=")</f>
        <v>#VALUE!</v>
      </c>
      <c r="AI19" t="e">
        <f>AND('4 Person Double Dutch'!K18,"AAAAAH/Z/yI=")</f>
        <v>#VALUE!</v>
      </c>
      <c r="AJ19" t="e">
        <f>AND('4 Person Double Dutch'!#REF!,"AAAAAH/Z/yM=")</f>
        <v>#REF!</v>
      </c>
      <c r="AK19" t="e">
        <f>AND('4 Person Double Dutch'!#REF!,"AAAAAH/Z/yQ=")</f>
        <v>#REF!</v>
      </c>
      <c r="AL19">
        <f>IF('4 Person Double Dutch'!19:19,"AAAAAH/Z/yU=",0)</f>
        <v>0</v>
      </c>
      <c r="AM19" t="b">
        <f>AND('4 Person Double Dutch'!A19,"AAAAAH/Z/yY=")</f>
        <v>1</v>
      </c>
      <c r="AN19" t="e">
        <f>AND('4 Person Double Dutch'!B19,"AAAAAH/Z/yc=")</f>
        <v>#VALUE!</v>
      </c>
      <c r="AO19" t="e">
        <f>AND('4 Person Double Dutch'!C19,"AAAAAH/Z/yg=")</f>
        <v>#VALUE!</v>
      </c>
      <c r="AP19" t="e">
        <f>AND('4 Person Double Dutch'!D19,"AAAAAH/Z/yk=")</f>
        <v>#VALUE!</v>
      </c>
      <c r="AQ19" t="e">
        <f>AND('4 Person Double Dutch'!E19,"AAAAAH/Z/yo=")</f>
        <v>#VALUE!</v>
      </c>
      <c r="AR19" t="e">
        <f>AND('4 Person Double Dutch'!F19,"AAAAAH/Z/ys=")</f>
        <v>#VALUE!</v>
      </c>
      <c r="AS19" t="e">
        <f>AND('4 Person Double Dutch'!G19,"AAAAAH/Z/yw=")</f>
        <v>#VALUE!</v>
      </c>
      <c r="AT19" t="e">
        <f>AND('4 Person Double Dutch'!H19,"AAAAAH/Z/y0=")</f>
        <v>#VALUE!</v>
      </c>
      <c r="AU19" t="e">
        <f>AND('4 Person Double Dutch'!I19,"AAAAAH/Z/y4=")</f>
        <v>#VALUE!</v>
      </c>
      <c r="AV19" t="e">
        <f>AND('4 Person Double Dutch'!J19,"AAAAAH/Z/y8=")</f>
        <v>#VALUE!</v>
      </c>
      <c r="AW19" t="e">
        <f>AND('4 Person Double Dutch'!K19,"AAAAAH/Z/zA=")</f>
        <v>#VALUE!</v>
      </c>
      <c r="AX19" t="e">
        <f>AND('4 Person Double Dutch'!#REF!,"AAAAAH/Z/zE=")</f>
        <v>#REF!</v>
      </c>
      <c r="AY19" t="e">
        <f>AND('4 Person Double Dutch'!#REF!,"AAAAAH/Z/zI=")</f>
        <v>#REF!</v>
      </c>
      <c r="AZ19">
        <f>IF('4 Person Double Dutch'!20:20,"AAAAAH/Z/zM=",0)</f>
        <v>0</v>
      </c>
      <c r="BA19" t="b">
        <f>AND('4 Person Double Dutch'!A20,"AAAAAH/Z/zQ=")</f>
        <v>1</v>
      </c>
      <c r="BB19" t="e">
        <f>AND('4 Person Double Dutch'!B20,"AAAAAH/Z/zU=")</f>
        <v>#VALUE!</v>
      </c>
      <c r="BC19" t="e">
        <f>AND('4 Person Double Dutch'!C20,"AAAAAH/Z/zY=")</f>
        <v>#VALUE!</v>
      </c>
      <c r="BD19" t="e">
        <f>AND('4 Person Double Dutch'!D20,"AAAAAH/Z/zc=")</f>
        <v>#VALUE!</v>
      </c>
      <c r="BE19" t="e">
        <f>AND('4 Person Double Dutch'!E20,"AAAAAH/Z/zg=")</f>
        <v>#VALUE!</v>
      </c>
      <c r="BF19" t="e">
        <f>AND('4 Person Double Dutch'!F20,"AAAAAH/Z/zk=")</f>
        <v>#VALUE!</v>
      </c>
      <c r="BG19" t="e">
        <f>AND('4 Person Double Dutch'!G20,"AAAAAH/Z/zo=")</f>
        <v>#VALUE!</v>
      </c>
      <c r="BH19" t="e">
        <f>AND('4 Person Double Dutch'!H20,"AAAAAH/Z/zs=")</f>
        <v>#VALUE!</v>
      </c>
      <c r="BI19" t="e">
        <f>AND('4 Person Double Dutch'!I20,"AAAAAH/Z/zw=")</f>
        <v>#VALUE!</v>
      </c>
      <c r="BJ19" t="e">
        <f>AND('4 Person Double Dutch'!J20,"AAAAAH/Z/z0=")</f>
        <v>#VALUE!</v>
      </c>
      <c r="BK19" t="e">
        <f>AND('4 Person Double Dutch'!K20,"AAAAAH/Z/z4=")</f>
        <v>#VALUE!</v>
      </c>
      <c r="BL19" t="e">
        <f>AND('4 Person Double Dutch'!#REF!,"AAAAAH/Z/z8=")</f>
        <v>#REF!</v>
      </c>
      <c r="BM19" t="e">
        <f>AND('4 Person Double Dutch'!#REF!,"AAAAAH/Z/0A=")</f>
        <v>#REF!</v>
      </c>
      <c r="BN19">
        <f>IF('4 Person Double Dutch'!21:21,"AAAAAH/Z/0E=",0)</f>
        <v>0</v>
      </c>
      <c r="BO19" t="b">
        <f>AND('4 Person Double Dutch'!A21,"AAAAAH/Z/0I=")</f>
        <v>1</v>
      </c>
      <c r="BP19" t="e">
        <f>AND('4 Person Double Dutch'!B21,"AAAAAH/Z/0M=")</f>
        <v>#VALUE!</v>
      </c>
      <c r="BQ19" t="e">
        <f>AND('4 Person Double Dutch'!C21,"AAAAAH/Z/0Q=")</f>
        <v>#VALUE!</v>
      </c>
      <c r="BR19" t="e">
        <f>AND('4 Person Double Dutch'!D21,"AAAAAH/Z/0U=")</f>
        <v>#VALUE!</v>
      </c>
      <c r="BS19" t="e">
        <f>AND('4 Person Double Dutch'!E21,"AAAAAH/Z/0Y=")</f>
        <v>#VALUE!</v>
      </c>
      <c r="BT19" t="e">
        <f>AND('4 Person Double Dutch'!F21,"AAAAAH/Z/0c=")</f>
        <v>#VALUE!</v>
      </c>
      <c r="BU19" t="e">
        <f>AND('4 Person Double Dutch'!G21,"AAAAAH/Z/0g=")</f>
        <v>#VALUE!</v>
      </c>
      <c r="BV19" t="e">
        <f>AND('4 Person Double Dutch'!H21,"AAAAAH/Z/0k=")</f>
        <v>#VALUE!</v>
      </c>
      <c r="BW19" t="e">
        <f>AND('4 Person Double Dutch'!I21,"AAAAAH/Z/0o=")</f>
        <v>#VALUE!</v>
      </c>
      <c r="BX19" t="e">
        <f>AND('4 Person Double Dutch'!J21,"AAAAAH/Z/0s=")</f>
        <v>#VALUE!</v>
      </c>
      <c r="BY19" t="e">
        <f>AND('4 Person Double Dutch'!K21,"AAAAAH/Z/0w=")</f>
        <v>#VALUE!</v>
      </c>
      <c r="BZ19" t="e">
        <f>AND('4 Person Double Dutch'!#REF!,"AAAAAH/Z/00=")</f>
        <v>#REF!</v>
      </c>
      <c r="CA19" t="e">
        <f>AND('4 Person Double Dutch'!#REF!,"AAAAAH/Z/04=")</f>
        <v>#REF!</v>
      </c>
      <c r="CB19">
        <f>IF('4 Person Double Dutch'!22:22,"AAAAAH/Z/08=",0)</f>
        <v>0</v>
      </c>
      <c r="CC19" t="b">
        <f>AND('4 Person Double Dutch'!A22,"AAAAAH/Z/1A=")</f>
        <v>1</v>
      </c>
      <c r="CD19" t="e">
        <f>AND('4 Person Double Dutch'!B22,"AAAAAH/Z/1E=")</f>
        <v>#VALUE!</v>
      </c>
      <c r="CE19" t="e">
        <f>AND('4 Person Double Dutch'!C22,"AAAAAH/Z/1I=")</f>
        <v>#VALUE!</v>
      </c>
      <c r="CF19" t="e">
        <f>AND('4 Person Double Dutch'!D22,"AAAAAH/Z/1M=")</f>
        <v>#VALUE!</v>
      </c>
      <c r="CG19" t="e">
        <f>AND('4 Person Double Dutch'!E22,"AAAAAH/Z/1Q=")</f>
        <v>#VALUE!</v>
      </c>
      <c r="CH19" t="e">
        <f>AND('4 Person Double Dutch'!F22,"AAAAAH/Z/1U=")</f>
        <v>#VALUE!</v>
      </c>
      <c r="CI19" t="e">
        <f>AND('4 Person Double Dutch'!G22,"AAAAAH/Z/1Y=")</f>
        <v>#VALUE!</v>
      </c>
      <c r="CJ19" t="e">
        <f>AND('4 Person Double Dutch'!H22,"AAAAAH/Z/1c=")</f>
        <v>#VALUE!</v>
      </c>
      <c r="CK19" t="e">
        <f>AND('4 Person Double Dutch'!I22,"AAAAAH/Z/1g=")</f>
        <v>#VALUE!</v>
      </c>
      <c r="CL19" t="e">
        <f>AND('4 Person Double Dutch'!J22,"AAAAAH/Z/1k=")</f>
        <v>#VALUE!</v>
      </c>
      <c r="CM19" t="e">
        <f>AND('4 Person Double Dutch'!K22,"AAAAAH/Z/1o=")</f>
        <v>#VALUE!</v>
      </c>
      <c r="CN19" t="e">
        <f>AND('4 Person Double Dutch'!#REF!,"AAAAAH/Z/1s=")</f>
        <v>#REF!</v>
      </c>
      <c r="CO19" t="e">
        <f>AND('4 Person Double Dutch'!#REF!,"AAAAAH/Z/1w=")</f>
        <v>#REF!</v>
      </c>
      <c r="CP19">
        <f>IF('4 Person Double Dutch'!23:23,"AAAAAH/Z/10=",0)</f>
        <v>0</v>
      </c>
      <c r="CQ19" t="e">
        <f>AND('4 Person Double Dutch'!A23,"AAAAAH/Z/14=")</f>
        <v>#VALUE!</v>
      </c>
      <c r="CR19" t="e">
        <f>AND('4 Person Double Dutch'!B23,"AAAAAH/Z/18=")</f>
        <v>#VALUE!</v>
      </c>
      <c r="CS19" t="e">
        <f>AND('4 Person Double Dutch'!C23,"AAAAAH/Z/2A=")</f>
        <v>#VALUE!</v>
      </c>
      <c r="CT19" t="e">
        <f>AND('4 Person Double Dutch'!D23,"AAAAAH/Z/2E=")</f>
        <v>#VALUE!</v>
      </c>
      <c r="CU19" t="e">
        <f>AND('4 Person Double Dutch'!E23,"AAAAAH/Z/2I=")</f>
        <v>#VALUE!</v>
      </c>
      <c r="CV19" t="e">
        <f>AND('4 Person Double Dutch'!F23,"AAAAAH/Z/2M=")</f>
        <v>#VALUE!</v>
      </c>
      <c r="CW19" t="e">
        <f>AND('4 Person Double Dutch'!G23,"AAAAAH/Z/2Q=")</f>
        <v>#VALUE!</v>
      </c>
      <c r="CX19" t="e">
        <f>AND('4 Person Double Dutch'!H23,"AAAAAH/Z/2U=")</f>
        <v>#VALUE!</v>
      </c>
      <c r="CY19" t="e">
        <f>AND('4 Person Double Dutch'!I23,"AAAAAH/Z/2Y=")</f>
        <v>#VALUE!</v>
      </c>
      <c r="CZ19" t="e">
        <f>AND('4 Person Double Dutch'!J23,"AAAAAH/Z/2c=")</f>
        <v>#VALUE!</v>
      </c>
      <c r="DA19" t="e">
        <f>AND('4 Person Double Dutch'!K23,"AAAAAH/Z/2g=")</f>
        <v>#VALUE!</v>
      </c>
      <c r="DB19" t="e">
        <f>AND('4 Person Double Dutch'!#REF!,"AAAAAH/Z/2k=")</f>
        <v>#REF!</v>
      </c>
      <c r="DC19" t="e">
        <f>AND('4 Person Double Dutch'!#REF!,"AAAAAH/Z/2o=")</f>
        <v>#REF!</v>
      </c>
      <c r="DD19">
        <f>IF('4 Person Double Dutch'!24:24,"AAAAAH/Z/2s=",0)</f>
        <v>0</v>
      </c>
      <c r="DE19" t="e">
        <f>AND('4 Person Double Dutch'!A24,"AAAAAH/Z/2w=")</f>
        <v>#VALUE!</v>
      </c>
      <c r="DF19" t="e">
        <f>AND('4 Person Double Dutch'!B24,"AAAAAH/Z/20=")</f>
        <v>#VALUE!</v>
      </c>
      <c r="DG19" t="e">
        <f>AND('4 Person Double Dutch'!C24,"AAAAAH/Z/24=")</f>
        <v>#VALUE!</v>
      </c>
      <c r="DH19" t="e">
        <f>AND('4 Person Double Dutch'!D24,"AAAAAH/Z/28=")</f>
        <v>#VALUE!</v>
      </c>
      <c r="DI19" t="e">
        <f>AND('4 Person Double Dutch'!E24,"AAAAAH/Z/3A=")</f>
        <v>#VALUE!</v>
      </c>
      <c r="DJ19" t="e">
        <f>AND('4 Person Double Dutch'!F24,"AAAAAH/Z/3E=")</f>
        <v>#VALUE!</v>
      </c>
      <c r="DK19" t="e">
        <f>AND('4 Person Double Dutch'!G24,"AAAAAH/Z/3I=")</f>
        <v>#VALUE!</v>
      </c>
      <c r="DL19" t="e">
        <f>AND('4 Person Double Dutch'!H24,"AAAAAH/Z/3M=")</f>
        <v>#VALUE!</v>
      </c>
      <c r="DM19" t="e">
        <f>AND('4 Person Double Dutch'!I24,"AAAAAH/Z/3Q=")</f>
        <v>#VALUE!</v>
      </c>
      <c r="DN19" t="e">
        <f>AND('4 Person Double Dutch'!J24,"AAAAAH/Z/3U=")</f>
        <v>#VALUE!</v>
      </c>
      <c r="DO19" t="e">
        <f>AND('4 Person Double Dutch'!K24,"AAAAAH/Z/3Y=")</f>
        <v>#VALUE!</v>
      </c>
      <c r="DP19" t="e">
        <f>AND('4 Person Double Dutch'!#REF!,"AAAAAH/Z/3c=")</f>
        <v>#REF!</v>
      </c>
      <c r="DQ19" t="e">
        <f>AND('4 Person Double Dutch'!#REF!,"AAAAAH/Z/3g=")</f>
        <v>#REF!</v>
      </c>
      <c r="DR19">
        <f>IF('4 Person Double Dutch'!25:25,"AAAAAH/Z/3k=",0)</f>
        <v>0</v>
      </c>
      <c r="DS19" t="b">
        <f>AND('4 Person Double Dutch'!A25,"AAAAAH/Z/3o=")</f>
        <v>1</v>
      </c>
      <c r="DT19" t="e">
        <f>AND('4 Person Double Dutch'!B25,"AAAAAH/Z/3s=")</f>
        <v>#VALUE!</v>
      </c>
      <c r="DU19" t="e">
        <f>AND('4 Person Double Dutch'!C25,"AAAAAH/Z/3w=")</f>
        <v>#VALUE!</v>
      </c>
      <c r="DV19" t="e">
        <f>AND('4 Person Double Dutch'!D25,"AAAAAH/Z/30=")</f>
        <v>#VALUE!</v>
      </c>
      <c r="DW19" t="e">
        <f>AND('4 Person Double Dutch'!E25,"AAAAAH/Z/34=")</f>
        <v>#VALUE!</v>
      </c>
      <c r="DX19" t="e">
        <f>AND('4 Person Double Dutch'!F25,"AAAAAH/Z/38=")</f>
        <v>#VALUE!</v>
      </c>
      <c r="DY19" t="e">
        <f>AND('4 Person Double Dutch'!G25,"AAAAAH/Z/4A=")</f>
        <v>#VALUE!</v>
      </c>
      <c r="DZ19" t="e">
        <f>AND('4 Person Double Dutch'!H25,"AAAAAH/Z/4E=")</f>
        <v>#VALUE!</v>
      </c>
      <c r="EA19" t="e">
        <f>AND('4 Person Double Dutch'!I25,"AAAAAH/Z/4I=")</f>
        <v>#VALUE!</v>
      </c>
      <c r="EB19" t="e">
        <f>AND('4 Person Double Dutch'!J25,"AAAAAH/Z/4M=")</f>
        <v>#VALUE!</v>
      </c>
      <c r="EC19" t="e">
        <f>AND('4 Person Double Dutch'!K25,"AAAAAH/Z/4Q=")</f>
        <v>#VALUE!</v>
      </c>
      <c r="ED19" t="e">
        <f>AND('4 Person Double Dutch'!#REF!,"AAAAAH/Z/4U=")</f>
        <v>#REF!</v>
      </c>
      <c r="EE19" t="e">
        <f>AND('4 Person Double Dutch'!#REF!,"AAAAAH/Z/4Y=")</f>
        <v>#REF!</v>
      </c>
      <c r="EF19">
        <f>IF('4 Person Double Dutch'!26:26,"AAAAAH/Z/4c=",0)</f>
        <v>0</v>
      </c>
      <c r="EG19" t="b">
        <f>AND('4 Person Double Dutch'!A26,"AAAAAH/Z/4g=")</f>
        <v>1</v>
      </c>
      <c r="EH19" t="e">
        <f>AND('4 Person Double Dutch'!B26,"AAAAAH/Z/4k=")</f>
        <v>#VALUE!</v>
      </c>
      <c r="EI19" t="e">
        <f>AND('4 Person Double Dutch'!C26,"AAAAAH/Z/4o=")</f>
        <v>#VALUE!</v>
      </c>
      <c r="EJ19" t="e">
        <f>AND('4 Person Double Dutch'!D26,"AAAAAH/Z/4s=")</f>
        <v>#VALUE!</v>
      </c>
      <c r="EK19" t="e">
        <f>AND('4 Person Double Dutch'!E26,"AAAAAH/Z/4w=")</f>
        <v>#VALUE!</v>
      </c>
      <c r="EL19" t="e">
        <f>AND('4 Person Double Dutch'!F26,"AAAAAH/Z/40=")</f>
        <v>#VALUE!</v>
      </c>
      <c r="EM19" t="e">
        <f>AND('4 Person Double Dutch'!G26,"AAAAAH/Z/44=")</f>
        <v>#VALUE!</v>
      </c>
      <c r="EN19" t="e">
        <f>AND('4 Person Double Dutch'!H26,"AAAAAH/Z/48=")</f>
        <v>#VALUE!</v>
      </c>
      <c r="EO19" t="e">
        <f>AND('4 Person Double Dutch'!I26,"AAAAAH/Z/5A=")</f>
        <v>#VALUE!</v>
      </c>
      <c r="EP19" t="e">
        <f>AND('4 Person Double Dutch'!J26,"AAAAAH/Z/5E=")</f>
        <v>#VALUE!</v>
      </c>
      <c r="EQ19" t="e">
        <f>AND('4 Person Double Dutch'!K26,"AAAAAH/Z/5I=")</f>
        <v>#VALUE!</v>
      </c>
      <c r="ER19" t="e">
        <f>AND('4 Person Double Dutch'!#REF!,"AAAAAH/Z/5M=")</f>
        <v>#REF!</v>
      </c>
      <c r="ES19" t="e">
        <f>AND('4 Person Double Dutch'!#REF!,"AAAAAH/Z/5Q=")</f>
        <v>#REF!</v>
      </c>
      <c r="ET19">
        <f>IF('4 Person Double Dutch'!27:27,"AAAAAH/Z/5U=",0)</f>
        <v>0</v>
      </c>
      <c r="EU19" t="b">
        <f>AND('4 Person Double Dutch'!A27,"AAAAAH/Z/5Y=")</f>
        <v>1</v>
      </c>
      <c r="EV19" t="e">
        <f>AND('4 Person Double Dutch'!B27,"AAAAAH/Z/5c=")</f>
        <v>#VALUE!</v>
      </c>
      <c r="EW19" t="e">
        <f>AND('4 Person Double Dutch'!C27,"AAAAAH/Z/5g=")</f>
        <v>#VALUE!</v>
      </c>
      <c r="EX19" t="e">
        <f>AND('4 Person Double Dutch'!D27,"AAAAAH/Z/5k=")</f>
        <v>#VALUE!</v>
      </c>
      <c r="EY19" t="e">
        <f>AND('4 Person Double Dutch'!E27,"AAAAAH/Z/5o=")</f>
        <v>#VALUE!</v>
      </c>
      <c r="EZ19" t="e">
        <f>AND('4 Person Double Dutch'!F27,"AAAAAH/Z/5s=")</f>
        <v>#VALUE!</v>
      </c>
      <c r="FA19" t="e">
        <f>AND('4 Person Double Dutch'!G27,"AAAAAH/Z/5w=")</f>
        <v>#VALUE!</v>
      </c>
      <c r="FB19" t="e">
        <f>AND('4 Person Double Dutch'!H27,"AAAAAH/Z/50=")</f>
        <v>#VALUE!</v>
      </c>
      <c r="FC19" t="e">
        <f>AND('4 Person Double Dutch'!I27,"AAAAAH/Z/54=")</f>
        <v>#VALUE!</v>
      </c>
      <c r="FD19" t="e">
        <f>AND('4 Person Double Dutch'!J27,"AAAAAH/Z/58=")</f>
        <v>#VALUE!</v>
      </c>
      <c r="FE19" t="e">
        <f>AND('4 Person Double Dutch'!K27,"AAAAAH/Z/6A=")</f>
        <v>#VALUE!</v>
      </c>
      <c r="FF19" t="e">
        <f>AND('4 Person Double Dutch'!#REF!,"AAAAAH/Z/6E=")</f>
        <v>#REF!</v>
      </c>
      <c r="FG19" t="e">
        <f>AND('4 Person Double Dutch'!#REF!,"AAAAAH/Z/6I=")</f>
        <v>#REF!</v>
      </c>
      <c r="FH19">
        <f>IF('4 Person Double Dutch'!28:28,"AAAAAH/Z/6M=",0)</f>
        <v>0</v>
      </c>
      <c r="FI19" t="b">
        <f>AND('4 Person Double Dutch'!A28,"AAAAAH/Z/6Q=")</f>
        <v>1</v>
      </c>
      <c r="FJ19" t="e">
        <f>AND('4 Person Double Dutch'!B28,"AAAAAH/Z/6U=")</f>
        <v>#VALUE!</v>
      </c>
      <c r="FK19" t="e">
        <f>AND('4 Person Double Dutch'!C28,"AAAAAH/Z/6Y=")</f>
        <v>#VALUE!</v>
      </c>
      <c r="FL19" t="e">
        <f>AND('4 Person Double Dutch'!D28,"AAAAAH/Z/6c=")</f>
        <v>#VALUE!</v>
      </c>
      <c r="FM19" t="e">
        <f>AND('4 Person Double Dutch'!E28,"AAAAAH/Z/6g=")</f>
        <v>#VALUE!</v>
      </c>
      <c r="FN19" t="e">
        <f>AND('4 Person Double Dutch'!F28,"AAAAAH/Z/6k=")</f>
        <v>#VALUE!</v>
      </c>
      <c r="FO19" t="e">
        <f>AND('4 Person Double Dutch'!G28,"AAAAAH/Z/6o=")</f>
        <v>#VALUE!</v>
      </c>
      <c r="FP19" t="e">
        <f>AND('4 Person Double Dutch'!H28,"AAAAAH/Z/6s=")</f>
        <v>#VALUE!</v>
      </c>
      <c r="FQ19" t="e">
        <f>AND('4 Person Double Dutch'!I28,"AAAAAH/Z/6w=")</f>
        <v>#VALUE!</v>
      </c>
      <c r="FR19" t="e">
        <f>AND('4 Person Double Dutch'!J28,"AAAAAH/Z/60=")</f>
        <v>#VALUE!</v>
      </c>
      <c r="FS19" t="e">
        <f>AND('4 Person Double Dutch'!K28,"AAAAAH/Z/64=")</f>
        <v>#VALUE!</v>
      </c>
      <c r="FT19" t="e">
        <f>AND('4 Person Double Dutch'!#REF!,"AAAAAH/Z/68=")</f>
        <v>#REF!</v>
      </c>
      <c r="FU19" t="e">
        <f>AND('4 Person Double Dutch'!#REF!,"AAAAAH/Z/7A=")</f>
        <v>#REF!</v>
      </c>
      <c r="FV19">
        <f>IF('4 Person Double Dutch'!29:29,"AAAAAH/Z/7E=",0)</f>
        <v>0</v>
      </c>
      <c r="FW19" t="b">
        <f>AND('4 Person Double Dutch'!A29,"AAAAAH/Z/7I=")</f>
        <v>1</v>
      </c>
      <c r="FX19" t="e">
        <f>AND('4 Person Double Dutch'!B29,"AAAAAH/Z/7M=")</f>
        <v>#VALUE!</v>
      </c>
      <c r="FY19" t="e">
        <f>AND('4 Person Double Dutch'!C29,"AAAAAH/Z/7Q=")</f>
        <v>#VALUE!</v>
      </c>
      <c r="FZ19" t="e">
        <f>AND('4 Person Double Dutch'!D29,"AAAAAH/Z/7U=")</f>
        <v>#VALUE!</v>
      </c>
      <c r="GA19" t="e">
        <f>AND('4 Person Double Dutch'!E29,"AAAAAH/Z/7Y=")</f>
        <v>#VALUE!</v>
      </c>
      <c r="GB19" t="e">
        <f>AND('4 Person Double Dutch'!F29,"AAAAAH/Z/7c=")</f>
        <v>#VALUE!</v>
      </c>
      <c r="GC19" t="e">
        <f>AND('4 Person Double Dutch'!G29,"AAAAAH/Z/7g=")</f>
        <v>#VALUE!</v>
      </c>
      <c r="GD19" t="e">
        <f>AND('4 Person Double Dutch'!H29,"AAAAAH/Z/7k=")</f>
        <v>#VALUE!</v>
      </c>
      <c r="GE19" t="e">
        <f>AND('4 Person Double Dutch'!I29,"AAAAAH/Z/7o=")</f>
        <v>#VALUE!</v>
      </c>
      <c r="GF19" t="e">
        <f>AND('4 Person Double Dutch'!J29,"AAAAAH/Z/7s=")</f>
        <v>#VALUE!</v>
      </c>
      <c r="GG19" t="e">
        <f>AND('4 Person Double Dutch'!K29,"AAAAAH/Z/7w=")</f>
        <v>#VALUE!</v>
      </c>
      <c r="GH19" t="e">
        <f>AND('4 Person Double Dutch'!#REF!,"AAAAAH/Z/70=")</f>
        <v>#REF!</v>
      </c>
      <c r="GI19" t="e">
        <f>AND('4 Person Double Dutch'!#REF!,"AAAAAH/Z/74=")</f>
        <v>#REF!</v>
      </c>
      <c r="GJ19">
        <f>IF('4 Person Double Dutch'!30:30,"AAAAAH/Z/78=",0)</f>
        <v>0</v>
      </c>
      <c r="GK19" t="b">
        <f>AND('4 Person Double Dutch'!A30,"AAAAAH/Z/8A=")</f>
        <v>1</v>
      </c>
      <c r="GL19" t="e">
        <f>AND('4 Person Double Dutch'!B30,"AAAAAH/Z/8E=")</f>
        <v>#VALUE!</v>
      </c>
      <c r="GM19" t="e">
        <f>AND('4 Person Double Dutch'!C30,"AAAAAH/Z/8I=")</f>
        <v>#VALUE!</v>
      </c>
      <c r="GN19" t="e">
        <f>AND('4 Person Double Dutch'!D30,"AAAAAH/Z/8M=")</f>
        <v>#VALUE!</v>
      </c>
      <c r="GO19" t="e">
        <f>AND('4 Person Double Dutch'!E30,"AAAAAH/Z/8Q=")</f>
        <v>#VALUE!</v>
      </c>
      <c r="GP19" t="e">
        <f>AND('4 Person Double Dutch'!F30,"AAAAAH/Z/8U=")</f>
        <v>#VALUE!</v>
      </c>
      <c r="GQ19" t="e">
        <f>AND('4 Person Double Dutch'!G30,"AAAAAH/Z/8Y=")</f>
        <v>#VALUE!</v>
      </c>
      <c r="GR19" t="e">
        <f>AND('4 Person Double Dutch'!H30,"AAAAAH/Z/8c=")</f>
        <v>#VALUE!</v>
      </c>
      <c r="GS19" t="e">
        <f>AND('4 Person Double Dutch'!I30,"AAAAAH/Z/8g=")</f>
        <v>#VALUE!</v>
      </c>
      <c r="GT19" t="e">
        <f>AND('4 Person Double Dutch'!J30,"AAAAAH/Z/8k=")</f>
        <v>#VALUE!</v>
      </c>
      <c r="GU19" t="e">
        <f>AND('4 Person Double Dutch'!K30,"AAAAAH/Z/8o=")</f>
        <v>#VALUE!</v>
      </c>
      <c r="GV19" t="e">
        <f>AND('4 Person Double Dutch'!#REF!,"AAAAAH/Z/8s=")</f>
        <v>#REF!</v>
      </c>
      <c r="GW19" t="e">
        <f>AND('4 Person Double Dutch'!#REF!,"AAAAAH/Z/8w=")</f>
        <v>#REF!</v>
      </c>
      <c r="GX19">
        <f>IF('4 Person Double Dutch'!31:31,"AAAAAH/Z/80=",0)</f>
        <v>0</v>
      </c>
      <c r="GY19" t="b">
        <f>AND('4 Person Double Dutch'!A31,"AAAAAH/Z/84=")</f>
        <v>1</v>
      </c>
      <c r="GZ19" t="e">
        <f>AND('4 Person Double Dutch'!B31,"AAAAAH/Z/88=")</f>
        <v>#VALUE!</v>
      </c>
      <c r="HA19" t="e">
        <f>AND('4 Person Double Dutch'!C31,"AAAAAH/Z/9A=")</f>
        <v>#VALUE!</v>
      </c>
      <c r="HB19" t="e">
        <f>AND('4 Person Double Dutch'!D31,"AAAAAH/Z/9E=")</f>
        <v>#VALUE!</v>
      </c>
      <c r="HC19" t="e">
        <f>AND('4 Person Double Dutch'!E31,"AAAAAH/Z/9I=")</f>
        <v>#VALUE!</v>
      </c>
      <c r="HD19" t="e">
        <f>AND('4 Person Double Dutch'!F31,"AAAAAH/Z/9M=")</f>
        <v>#VALUE!</v>
      </c>
      <c r="HE19" t="e">
        <f>AND('4 Person Double Dutch'!G31,"AAAAAH/Z/9Q=")</f>
        <v>#VALUE!</v>
      </c>
      <c r="HF19" t="e">
        <f>AND('4 Person Double Dutch'!H31,"AAAAAH/Z/9U=")</f>
        <v>#VALUE!</v>
      </c>
      <c r="HG19" t="e">
        <f>AND('4 Person Double Dutch'!I31,"AAAAAH/Z/9Y=")</f>
        <v>#VALUE!</v>
      </c>
      <c r="HH19" t="e">
        <f>AND('4 Person Double Dutch'!J31,"AAAAAH/Z/9c=")</f>
        <v>#VALUE!</v>
      </c>
      <c r="HI19" t="e">
        <f>AND('4 Person Double Dutch'!K31,"AAAAAH/Z/9g=")</f>
        <v>#VALUE!</v>
      </c>
      <c r="HJ19" t="e">
        <f>AND('4 Person Double Dutch'!#REF!,"AAAAAH/Z/9k=")</f>
        <v>#REF!</v>
      </c>
      <c r="HK19" t="e">
        <f>AND('4 Person Double Dutch'!#REF!,"AAAAAH/Z/9o=")</f>
        <v>#REF!</v>
      </c>
      <c r="HL19">
        <f>IF('4 Person Double Dutch'!32:32,"AAAAAH/Z/9s=",0)</f>
        <v>0</v>
      </c>
      <c r="HM19" t="b">
        <f>AND('4 Person Double Dutch'!A32,"AAAAAH/Z/9w=")</f>
        <v>1</v>
      </c>
      <c r="HN19" t="e">
        <f>AND('4 Person Double Dutch'!B32,"AAAAAH/Z/90=")</f>
        <v>#VALUE!</v>
      </c>
      <c r="HO19" t="e">
        <f>AND('4 Person Double Dutch'!C32,"AAAAAH/Z/94=")</f>
        <v>#VALUE!</v>
      </c>
      <c r="HP19" t="e">
        <f>AND('4 Person Double Dutch'!D32,"AAAAAH/Z/98=")</f>
        <v>#VALUE!</v>
      </c>
      <c r="HQ19" t="e">
        <f>AND('4 Person Double Dutch'!E32,"AAAAAH/Z/+A=")</f>
        <v>#VALUE!</v>
      </c>
      <c r="HR19" t="e">
        <f>AND('4 Person Double Dutch'!F32,"AAAAAH/Z/+E=")</f>
        <v>#VALUE!</v>
      </c>
      <c r="HS19" t="e">
        <f>AND('4 Person Double Dutch'!G32,"AAAAAH/Z/+I=")</f>
        <v>#VALUE!</v>
      </c>
      <c r="HT19" t="e">
        <f>AND('4 Person Double Dutch'!H32,"AAAAAH/Z/+M=")</f>
        <v>#VALUE!</v>
      </c>
      <c r="HU19" t="e">
        <f>AND('4 Person Double Dutch'!I32,"AAAAAH/Z/+Q=")</f>
        <v>#VALUE!</v>
      </c>
      <c r="HV19" t="e">
        <f>AND('4 Person Double Dutch'!J32,"AAAAAH/Z/+U=")</f>
        <v>#VALUE!</v>
      </c>
      <c r="HW19" t="e">
        <f>AND('4 Person Double Dutch'!K32,"AAAAAH/Z/+Y=")</f>
        <v>#VALUE!</v>
      </c>
      <c r="HX19" t="e">
        <f>AND('4 Person Double Dutch'!#REF!,"AAAAAH/Z/+c=")</f>
        <v>#REF!</v>
      </c>
      <c r="HY19" t="e">
        <f>AND('4 Person Double Dutch'!#REF!,"AAAAAH/Z/+g=")</f>
        <v>#REF!</v>
      </c>
      <c r="HZ19">
        <f>IF('4 Person Double Dutch'!33:33,"AAAAAH/Z/+k=",0)</f>
        <v>0</v>
      </c>
      <c r="IA19" t="e">
        <f>AND('4 Person Double Dutch'!A33,"AAAAAH/Z/+o=")</f>
        <v>#VALUE!</v>
      </c>
      <c r="IB19" t="e">
        <f>AND('4 Person Double Dutch'!B33,"AAAAAH/Z/+s=")</f>
        <v>#VALUE!</v>
      </c>
      <c r="IC19" t="e">
        <f>AND('4 Person Double Dutch'!C33,"AAAAAH/Z/+w=")</f>
        <v>#VALUE!</v>
      </c>
      <c r="ID19" t="e">
        <f>AND('4 Person Double Dutch'!D33,"AAAAAH/Z/+0=")</f>
        <v>#VALUE!</v>
      </c>
      <c r="IE19" t="e">
        <f>AND('4 Person Double Dutch'!E33,"AAAAAH/Z/+4=")</f>
        <v>#VALUE!</v>
      </c>
      <c r="IF19" t="e">
        <f>AND('4 Person Double Dutch'!F33,"AAAAAH/Z/+8=")</f>
        <v>#VALUE!</v>
      </c>
      <c r="IG19" t="e">
        <f>AND('4 Person Double Dutch'!G33,"AAAAAH/Z//A=")</f>
        <v>#VALUE!</v>
      </c>
      <c r="IH19" t="e">
        <f>AND('4 Person Double Dutch'!H33,"AAAAAH/Z//E=")</f>
        <v>#VALUE!</v>
      </c>
      <c r="II19" t="e">
        <f>AND('4 Person Double Dutch'!I33,"AAAAAH/Z//I=")</f>
        <v>#VALUE!</v>
      </c>
      <c r="IJ19" t="e">
        <f>AND('4 Person Double Dutch'!J33,"AAAAAH/Z//M=")</f>
        <v>#VALUE!</v>
      </c>
      <c r="IK19" t="e">
        <f>AND('4 Person Double Dutch'!K33,"AAAAAH/Z//Q=")</f>
        <v>#VALUE!</v>
      </c>
      <c r="IL19" t="e">
        <f>AND('4 Person Double Dutch'!#REF!,"AAAAAH/Z//U=")</f>
        <v>#REF!</v>
      </c>
      <c r="IM19" t="e">
        <f>AND('4 Person Double Dutch'!#REF!,"AAAAAH/Z//Y=")</f>
        <v>#REF!</v>
      </c>
      <c r="IN19">
        <f>IF('4 Person Double Dutch'!34:34,"AAAAAH/Z//c=",0)</f>
        <v>0</v>
      </c>
      <c r="IO19" t="e">
        <f>AND('4 Person Double Dutch'!A34,"AAAAAH/Z//g=")</f>
        <v>#VALUE!</v>
      </c>
      <c r="IP19" t="e">
        <f>AND('4 Person Double Dutch'!B34,"AAAAAH/Z//k=")</f>
        <v>#VALUE!</v>
      </c>
      <c r="IQ19" t="e">
        <f>AND('4 Person Double Dutch'!C34,"AAAAAH/Z//o=")</f>
        <v>#VALUE!</v>
      </c>
      <c r="IR19" t="e">
        <f>AND('4 Person Double Dutch'!D34,"AAAAAH/Z//s=")</f>
        <v>#VALUE!</v>
      </c>
      <c r="IS19" t="e">
        <f>AND('4 Person Double Dutch'!E34,"AAAAAH/Z//w=")</f>
        <v>#VALUE!</v>
      </c>
      <c r="IT19" t="e">
        <f>AND('4 Person Double Dutch'!F34,"AAAAAH/Z//0=")</f>
        <v>#VALUE!</v>
      </c>
      <c r="IU19" t="e">
        <f>AND('4 Person Double Dutch'!G34,"AAAAAH/Z//4=")</f>
        <v>#VALUE!</v>
      </c>
      <c r="IV19" t="e">
        <f>AND('4 Person Double Dutch'!H34,"AAAAAH/Z//8=")</f>
        <v>#VALUE!</v>
      </c>
    </row>
    <row r="20" spans="1:256" x14ac:dyDescent="0.25">
      <c r="A20" t="e">
        <f>AND('4 Person Double Dutch'!I34,"AAAAAGb+2gA=")</f>
        <v>#VALUE!</v>
      </c>
      <c r="B20" t="e">
        <f>AND('4 Person Double Dutch'!J34,"AAAAAGb+2gE=")</f>
        <v>#VALUE!</v>
      </c>
      <c r="C20" t="e">
        <f>AND('4 Person Double Dutch'!K34,"AAAAAGb+2gI=")</f>
        <v>#VALUE!</v>
      </c>
      <c r="D20" t="e">
        <f>AND('4 Person Double Dutch'!#REF!,"AAAAAGb+2gM=")</f>
        <v>#REF!</v>
      </c>
      <c r="E20" t="e">
        <f>AND('4 Person Double Dutch'!#REF!,"AAAAAGb+2gQ=")</f>
        <v>#REF!</v>
      </c>
      <c r="F20">
        <f>IF('4 Person Double Dutch'!35:35,"AAAAAGb+2gU=",0)</f>
        <v>0</v>
      </c>
      <c r="G20" t="b">
        <f>AND('4 Person Double Dutch'!A35,"AAAAAGb+2gY=")</f>
        <v>1</v>
      </c>
      <c r="H20" t="e">
        <f>AND('4 Person Double Dutch'!B35,"AAAAAGb+2gc=")</f>
        <v>#VALUE!</v>
      </c>
      <c r="I20" t="e">
        <f>AND('4 Person Double Dutch'!C35,"AAAAAGb+2gg=")</f>
        <v>#VALUE!</v>
      </c>
      <c r="J20" t="e">
        <f>AND('4 Person Double Dutch'!D35,"AAAAAGb+2gk=")</f>
        <v>#VALUE!</v>
      </c>
      <c r="K20" t="e">
        <f>AND('4 Person Double Dutch'!E35,"AAAAAGb+2go=")</f>
        <v>#VALUE!</v>
      </c>
      <c r="L20" t="e">
        <f>AND('4 Person Double Dutch'!F35,"AAAAAGb+2gs=")</f>
        <v>#VALUE!</v>
      </c>
      <c r="M20" t="e">
        <f>AND('4 Person Double Dutch'!G35,"AAAAAGb+2gw=")</f>
        <v>#VALUE!</v>
      </c>
      <c r="N20" t="e">
        <f>AND('4 Person Double Dutch'!H35,"AAAAAGb+2g0=")</f>
        <v>#VALUE!</v>
      </c>
      <c r="O20" t="e">
        <f>AND('4 Person Double Dutch'!I35,"AAAAAGb+2g4=")</f>
        <v>#VALUE!</v>
      </c>
      <c r="P20" t="e">
        <f>AND('4 Person Double Dutch'!J35,"AAAAAGb+2g8=")</f>
        <v>#VALUE!</v>
      </c>
      <c r="Q20" t="e">
        <f>AND('4 Person Double Dutch'!K35,"AAAAAGb+2hA=")</f>
        <v>#VALUE!</v>
      </c>
      <c r="R20" t="e">
        <f>AND('4 Person Double Dutch'!#REF!,"AAAAAGb+2hE=")</f>
        <v>#REF!</v>
      </c>
      <c r="S20" t="e">
        <f>AND('4 Person Double Dutch'!#REF!,"AAAAAGb+2hI=")</f>
        <v>#REF!</v>
      </c>
      <c r="T20">
        <f>IF('4 Person Double Dutch'!36:36,"AAAAAGb+2hM=",0)</f>
        <v>0</v>
      </c>
      <c r="U20" t="b">
        <f>AND('4 Person Double Dutch'!A36,"AAAAAGb+2hQ=")</f>
        <v>1</v>
      </c>
      <c r="V20" t="e">
        <f>AND('4 Person Double Dutch'!B36,"AAAAAGb+2hU=")</f>
        <v>#VALUE!</v>
      </c>
      <c r="W20" t="e">
        <f>AND('4 Person Double Dutch'!C36,"AAAAAGb+2hY=")</f>
        <v>#VALUE!</v>
      </c>
      <c r="X20" t="e">
        <f>AND('4 Person Double Dutch'!D36,"AAAAAGb+2hc=")</f>
        <v>#VALUE!</v>
      </c>
      <c r="Y20" t="e">
        <f>AND('4 Person Double Dutch'!E36,"AAAAAGb+2hg=")</f>
        <v>#VALUE!</v>
      </c>
      <c r="Z20" t="e">
        <f>AND('4 Person Double Dutch'!F36,"AAAAAGb+2hk=")</f>
        <v>#VALUE!</v>
      </c>
      <c r="AA20" t="e">
        <f>AND('4 Person Double Dutch'!G36,"AAAAAGb+2ho=")</f>
        <v>#VALUE!</v>
      </c>
      <c r="AB20" t="e">
        <f>AND('4 Person Double Dutch'!H36,"AAAAAGb+2hs=")</f>
        <v>#VALUE!</v>
      </c>
      <c r="AC20" t="e">
        <f>AND('4 Person Double Dutch'!I36,"AAAAAGb+2hw=")</f>
        <v>#VALUE!</v>
      </c>
      <c r="AD20" t="e">
        <f>AND('4 Person Double Dutch'!J36,"AAAAAGb+2h0=")</f>
        <v>#VALUE!</v>
      </c>
      <c r="AE20" t="e">
        <f>AND('4 Person Double Dutch'!K36,"AAAAAGb+2h4=")</f>
        <v>#VALUE!</v>
      </c>
      <c r="AF20" t="e">
        <f>AND('4 Person Double Dutch'!#REF!,"AAAAAGb+2h8=")</f>
        <v>#REF!</v>
      </c>
      <c r="AG20" t="e">
        <f>AND('4 Person Double Dutch'!#REF!,"AAAAAGb+2iA=")</f>
        <v>#REF!</v>
      </c>
      <c r="AH20">
        <f>IF('4 Person Double Dutch'!37:37,"AAAAAGb+2iE=",0)</f>
        <v>0</v>
      </c>
      <c r="AI20" t="b">
        <f>AND('4 Person Double Dutch'!A37,"AAAAAGb+2iI=")</f>
        <v>1</v>
      </c>
      <c r="AJ20" t="e">
        <f>AND('4 Person Double Dutch'!B37,"AAAAAGb+2iM=")</f>
        <v>#VALUE!</v>
      </c>
      <c r="AK20" t="e">
        <f>AND('4 Person Double Dutch'!C37,"AAAAAGb+2iQ=")</f>
        <v>#VALUE!</v>
      </c>
      <c r="AL20" t="e">
        <f>AND('4 Person Double Dutch'!D37,"AAAAAGb+2iU=")</f>
        <v>#VALUE!</v>
      </c>
      <c r="AM20" t="e">
        <f>AND('4 Person Double Dutch'!E37,"AAAAAGb+2iY=")</f>
        <v>#VALUE!</v>
      </c>
      <c r="AN20" t="e">
        <f>AND('4 Person Double Dutch'!F37,"AAAAAGb+2ic=")</f>
        <v>#VALUE!</v>
      </c>
      <c r="AO20" t="e">
        <f>AND('4 Person Double Dutch'!G37,"AAAAAGb+2ig=")</f>
        <v>#VALUE!</v>
      </c>
      <c r="AP20" t="e">
        <f>AND('4 Person Double Dutch'!H37,"AAAAAGb+2ik=")</f>
        <v>#VALUE!</v>
      </c>
      <c r="AQ20" t="e">
        <f>AND('4 Person Double Dutch'!I37,"AAAAAGb+2io=")</f>
        <v>#VALUE!</v>
      </c>
      <c r="AR20" t="e">
        <f>AND('4 Person Double Dutch'!J37,"AAAAAGb+2is=")</f>
        <v>#VALUE!</v>
      </c>
      <c r="AS20" t="e">
        <f>AND('4 Person Double Dutch'!K37,"AAAAAGb+2iw=")</f>
        <v>#VALUE!</v>
      </c>
      <c r="AT20" t="e">
        <f>AND('4 Person Double Dutch'!#REF!,"AAAAAGb+2i0=")</f>
        <v>#REF!</v>
      </c>
      <c r="AU20" t="e">
        <f>AND('4 Person Double Dutch'!#REF!,"AAAAAGb+2i4=")</f>
        <v>#REF!</v>
      </c>
      <c r="AV20">
        <f>IF('4 Person Double Dutch'!38:38,"AAAAAGb+2i8=",0)</f>
        <v>0</v>
      </c>
      <c r="AW20" t="b">
        <f>AND('4 Person Double Dutch'!A38,"AAAAAGb+2jA=")</f>
        <v>1</v>
      </c>
      <c r="AX20" t="e">
        <f>AND('4 Person Double Dutch'!B38,"AAAAAGb+2jE=")</f>
        <v>#VALUE!</v>
      </c>
      <c r="AY20" t="e">
        <f>AND('4 Person Double Dutch'!C38,"AAAAAGb+2jI=")</f>
        <v>#VALUE!</v>
      </c>
      <c r="AZ20" t="e">
        <f>AND('4 Person Double Dutch'!D38,"AAAAAGb+2jM=")</f>
        <v>#VALUE!</v>
      </c>
      <c r="BA20" t="e">
        <f>AND('4 Person Double Dutch'!E38,"AAAAAGb+2jQ=")</f>
        <v>#VALUE!</v>
      </c>
      <c r="BB20" t="e">
        <f>AND('4 Person Double Dutch'!F38,"AAAAAGb+2jU=")</f>
        <v>#VALUE!</v>
      </c>
      <c r="BC20" t="e">
        <f>AND('4 Person Double Dutch'!G38,"AAAAAGb+2jY=")</f>
        <v>#VALUE!</v>
      </c>
      <c r="BD20" t="e">
        <f>AND('4 Person Double Dutch'!H38,"AAAAAGb+2jc=")</f>
        <v>#VALUE!</v>
      </c>
      <c r="BE20" t="e">
        <f>AND('4 Person Double Dutch'!I38,"AAAAAGb+2jg=")</f>
        <v>#VALUE!</v>
      </c>
      <c r="BF20" t="e">
        <f>AND('4 Person Double Dutch'!J38,"AAAAAGb+2jk=")</f>
        <v>#VALUE!</v>
      </c>
      <c r="BG20" t="e">
        <f>AND('4 Person Double Dutch'!K38,"AAAAAGb+2jo=")</f>
        <v>#VALUE!</v>
      </c>
      <c r="BH20" t="e">
        <f>AND('4 Person Double Dutch'!#REF!,"AAAAAGb+2js=")</f>
        <v>#REF!</v>
      </c>
      <c r="BI20" t="e">
        <f>AND('4 Person Double Dutch'!#REF!,"AAAAAGb+2jw=")</f>
        <v>#REF!</v>
      </c>
      <c r="BJ20">
        <f>IF('4 Person Double Dutch'!39:39,"AAAAAGb+2j0=",0)</f>
        <v>0</v>
      </c>
      <c r="BK20" t="b">
        <f>AND('4 Person Double Dutch'!A39,"AAAAAGb+2j4=")</f>
        <v>1</v>
      </c>
      <c r="BL20" t="e">
        <f>AND('4 Person Double Dutch'!B39,"AAAAAGb+2j8=")</f>
        <v>#VALUE!</v>
      </c>
      <c r="BM20" t="e">
        <f>AND('4 Person Double Dutch'!C39,"AAAAAGb+2kA=")</f>
        <v>#VALUE!</v>
      </c>
      <c r="BN20" t="e">
        <f>AND('4 Person Double Dutch'!D39,"AAAAAGb+2kE=")</f>
        <v>#VALUE!</v>
      </c>
      <c r="BO20" t="e">
        <f>AND('4 Person Double Dutch'!E39,"AAAAAGb+2kI=")</f>
        <v>#VALUE!</v>
      </c>
      <c r="BP20" t="e">
        <f>AND('4 Person Double Dutch'!F39,"AAAAAGb+2kM=")</f>
        <v>#VALUE!</v>
      </c>
      <c r="BQ20" t="e">
        <f>AND('4 Person Double Dutch'!G39,"AAAAAGb+2kQ=")</f>
        <v>#VALUE!</v>
      </c>
      <c r="BR20" t="e">
        <f>AND('4 Person Double Dutch'!H39,"AAAAAGb+2kU=")</f>
        <v>#VALUE!</v>
      </c>
      <c r="BS20" t="e">
        <f>AND('4 Person Double Dutch'!I39,"AAAAAGb+2kY=")</f>
        <v>#VALUE!</v>
      </c>
      <c r="BT20" t="e">
        <f>AND('4 Person Double Dutch'!J39,"AAAAAGb+2kc=")</f>
        <v>#VALUE!</v>
      </c>
      <c r="BU20" t="e">
        <f>AND('4 Person Double Dutch'!K39,"AAAAAGb+2kg=")</f>
        <v>#VALUE!</v>
      </c>
      <c r="BV20" t="e">
        <f>AND('4 Person Double Dutch'!#REF!,"AAAAAGb+2kk=")</f>
        <v>#REF!</v>
      </c>
      <c r="BW20" t="e">
        <f>AND('4 Person Double Dutch'!#REF!,"AAAAAGb+2ko=")</f>
        <v>#REF!</v>
      </c>
      <c r="BX20">
        <f>IF('4 Person Double Dutch'!40:40,"AAAAAGb+2ks=",0)</f>
        <v>0</v>
      </c>
      <c r="BY20" t="b">
        <f>AND('4 Person Double Dutch'!A40,"AAAAAGb+2kw=")</f>
        <v>1</v>
      </c>
      <c r="BZ20" t="e">
        <f>AND('4 Person Double Dutch'!B40,"AAAAAGb+2k0=")</f>
        <v>#VALUE!</v>
      </c>
      <c r="CA20" t="e">
        <f>AND('4 Person Double Dutch'!C40,"AAAAAGb+2k4=")</f>
        <v>#VALUE!</v>
      </c>
      <c r="CB20" t="e">
        <f>AND('4 Person Double Dutch'!D40,"AAAAAGb+2k8=")</f>
        <v>#VALUE!</v>
      </c>
      <c r="CC20" t="e">
        <f>AND('4 Person Double Dutch'!E40,"AAAAAGb+2lA=")</f>
        <v>#VALUE!</v>
      </c>
      <c r="CD20" t="e">
        <f>AND('4 Person Double Dutch'!F40,"AAAAAGb+2lE=")</f>
        <v>#VALUE!</v>
      </c>
      <c r="CE20" t="e">
        <f>AND('4 Person Double Dutch'!G40,"AAAAAGb+2lI=")</f>
        <v>#VALUE!</v>
      </c>
      <c r="CF20" t="e">
        <f>AND('4 Person Double Dutch'!H40,"AAAAAGb+2lM=")</f>
        <v>#VALUE!</v>
      </c>
      <c r="CG20" t="e">
        <f>AND('4 Person Double Dutch'!I40,"AAAAAGb+2lQ=")</f>
        <v>#VALUE!</v>
      </c>
      <c r="CH20" t="e">
        <f>AND('4 Person Double Dutch'!J40,"AAAAAGb+2lU=")</f>
        <v>#VALUE!</v>
      </c>
      <c r="CI20" t="e">
        <f>AND('4 Person Double Dutch'!K40,"AAAAAGb+2lY=")</f>
        <v>#VALUE!</v>
      </c>
      <c r="CJ20" t="e">
        <f>AND('4 Person Double Dutch'!#REF!,"AAAAAGb+2lc=")</f>
        <v>#REF!</v>
      </c>
      <c r="CK20" t="e">
        <f>AND('4 Person Double Dutch'!#REF!,"AAAAAGb+2lg=")</f>
        <v>#REF!</v>
      </c>
      <c r="CL20">
        <f>IF('4 Person Double Dutch'!41:41,"AAAAAGb+2lk=",0)</f>
        <v>0</v>
      </c>
      <c r="CM20" t="b">
        <f>AND('4 Person Double Dutch'!A41,"AAAAAGb+2lo=")</f>
        <v>1</v>
      </c>
      <c r="CN20" t="e">
        <f>AND('4 Person Double Dutch'!B41,"AAAAAGb+2ls=")</f>
        <v>#VALUE!</v>
      </c>
      <c r="CO20" t="e">
        <f>AND('4 Person Double Dutch'!C41,"AAAAAGb+2lw=")</f>
        <v>#VALUE!</v>
      </c>
      <c r="CP20" t="e">
        <f>AND('4 Person Double Dutch'!D41,"AAAAAGb+2l0=")</f>
        <v>#VALUE!</v>
      </c>
      <c r="CQ20" t="e">
        <f>AND('4 Person Double Dutch'!E41,"AAAAAGb+2l4=")</f>
        <v>#VALUE!</v>
      </c>
      <c r="CR20" t="e">
        <f>AND('4 Person Double Dutch'!F41,"AAAAAGb+2l8=")</f>
        <v>#VALUE!</v>
      </c>
      <c r="CS20" t="e">
        <f>AND('4 Person Double Dutch'!G41,"AAAAAGb+2mA=")</f>
        <v>#VALUE!</v>
      </c>
      <c r="CT20" t="e">
        <f>AND('4 Person Double Dutch'!H41,"AAAAAGb+2mE=")</f>
        <v>#VALUE!</v>
      </c>
      <c r="CU20" t="e">
        <f>AND('4 Person Double Dutch'!I41,"AAAAAGb+2mI=")</f>
        <v>#VALUE!</v>
      </c>
      <c r="CV20" t="e">
        <f>AND('4 Person Double Dutch'!J41,"AAAAAGb+2mM=")</f>
        <v>#VALUE!</v>
      </c>
      <c r="CW20" t="e">
        <f>AND('4 Person Double Dutch'!K41,"AAAAAGb+2mQ=")</f>
        <v>#VALUE!</v>
      </c>
      <c r="CX20" t="e">
        <f>AND('4 Person Double Dutch'!#REF!,"AAAAAGb+2mU=")</f>
        <v>#REF!</v>
      </c>
      <c r="CY20" t="e">
        <f>AND('4 Person Double Dutch'!#REF!,"AAAAAGb+2mY=")</f>
        <v>#REF!</v>
      </c>
      <c r="CZ20">
        <f>IF('4 Person Double Dutch'!42:42,"AAAAAGb+2mc=",0)</f>
        <v>0</v>
      </c>
      <c r="DA20" t="b">
        <f>AND('4 Person Double Dutch'!A42,"AAAAAGb+2mg=")</f>
        <v>1</v>
      </c>
      <c r="DB20" t="e">
        <f>AND('4 Person Double Dutch'!B42,"AAAAAGb+2mk=")</f>
        <v>#VALUE!</v>
      </c>
      <c r="DC20" t="e">
        <f>AND('4 Person Double Dutch'!C42,"AAAAAGb+2mo=")</f>
        <v>#VALUE!</v>
      </c>
      <c r="DD20" t="e">
        <f>AND('4 Person Double Dutch'!D42,"AAAAAGb+2ms=")</f>
        <v>#VALUE!</v>
      </c>
      <c r="DE20" t="e">
        <f>AND('4 Person Double Dutch'!E42,"AAAAAGb+2mw=")</f>
        <v>#VALUE!</v>
      </c>
      <c r="DF20" t="e">
        <f>AND('4 Person Double Dutch'!F42,"AAAAAGb+2m0=")</f>
        <v>#VALUE!</v>
      </c>
      <c r="DG20" t="e">
        <f>AND('4 Person Double Dutch'!G42,"AAAAAGb+2m4=")</f>
        <v>#VALUE!</v>
      </c>
      <c r="DH20" t="e">
        <f>AND('4 Person Double Dutch'!H42,"AAAAAGb+2m8=")</f>
        <v>#VALUE!</v>
      </c>
      <c r="DI20" t="e">
        <f>AND('4 Person Double Dutch'!I42,"AAAAAGb+2nA=")</f>
        <v>#VALUE!</v>
      </c>
      <c r="DJ20" t="e">
        <f>AND('4 Person Double Dutch'!J42,"AAAAAGb+2nE=")</f>
        <v>#VALUE!</v>
      </c>
      <c r="DK20" t="e">
        <f>AND('4 Person Double Dutch'!K42,"AAAAAGb+2nI=")</f>
        <v>#VALUE!</v>
      </c>
      <c r="DL20" t="e">
        <f>AND('4 Person Double Dutch'!#REF!,"AAAAAGb+2nM=")</f>
        <v>#REF!</v>
      </c>
      <c r="DM20" t="e">
        <f>AND('4 Person Double Dutch'!#REF!,"AAAAAGb+2nQ=")</f>
        <v>#REF!</v>
      </c>
      <c r="DN20" t="str">
        <f>IF('4 Person Double Dutch'!A:A,"AAAAAGb+2nU=",0)</f>
        <v>AAAAAGb+2nU=</v>
      </c>
      <c r="DO20" t="e">
        <f>IF('4 Person Double Dutch'!B:B,"AAAAAGb+2nY=",0)</f>
        <v>#VALUE!</v>
      </c>
      <c r="DP20" t="e">
        <f>IF('4 Person Double Dutch'!C:C,"AAAAAGb+2nc=",0)</f>
        <v>#VALUE!</v>
      </c>
      <c r="DQ20">
        <f>IF('4 Person Double Dutch'!D:D,"AAAAAGb+2ng=",0)</f>
        <v>0</v>
      </c>
      <c r="DR20" t="e">
        <f>IF('4 Person Double Dutch'!E:E,"AAAAAGb+2nk=",0)</f>
        <v>#VALUE!</v>
      </c>
      <c r="DS20">
        <f>IF('4 Person Double Dutch'!F:F,"AAAAAGb+2no=",0)</f>
        <v>0</v>
      </c>
      <c r="DT20" t="e">
        <f>IF('4 Person Double Dutch'!G:G,"AAAAAGb+2ns=",0)</f>
        <v>#VALUE!</v>
      </c>
      <c r="DU20">
        <f>IF('4 Person Double Dutch'!H:H,"AAAAAGb+2nw=",0)</f>
        <v>0</v>
      </c>
      <c r="DV20" t="e">
        <f>IF('4 Person Double Dutch'!I:I,"AAAAAGb+2n0=",0)</f>
        <v>#VALUE!</v>
      </c>
      <c r="DW20">
        <f>IF('4 Person Double Dutch'!J:J,"AAAAAGb+2n4=",0)</f>
        <v>0</v>
      </c>
      <c r="DX20" t="e">
        <f>IF('4 Person Double Dutch'!K:K,"AAAAAGb+2n8=",0)</f>
        <v>#VALUE!</v>
      </c>
      <c r="DY20" t="e">
        <f>IF('4 Person Double Dutch'!#REF!,"AAAAAGb+2oA=",0)</f>
        <v>#REF!</v>
      </c>
      <c r="DZ20" t="e">
        <f>IF('4 Person Double Dutch'!#REF!,"AAAAAGb+2oE=",0)</f>
        <v>#REF!</v>
      </c>
      <c r="EA20">
        <f>IF(Lists!1:1,"AAAAAGb+2oI=",0)</f>
        <v>0</v>
      </c>
      <c r="EB20" t="e">
        <f>AND(Lists!A1,"AAAAAGb+2oM=")</f>
        <v>#VALUE!</v>
      </c>
      <c r="EC20" t="e">
        <f>AND(Lists!B1,"AAAAAGb+2oQ=")</f>
        <v>#VALUE!</v>
      </c>
      <c r="ED20" t="e">
        <f>AND(Lists!C1,"AAAAAGb+2oU=")</f>
        <v>#VALUE!</v>
      </c>
      <c r="EE20" t="e">
        <f>AND(Lists!D1,"AAAAAGb+2oY=")</f>
        <v>#VALUE!</v>
      </c>
      <c r="EF20" t="e">
        <f>AND(Lists!E1,"AAAAAGb+2oc=")</f>
        <v>#VALUE!</v>
      </c>
      <c r="EG20" t="e">
        <f>AND(Lists!F1,"AAAAAGb+2og=")</f>
        <v>#VALUE!</v>
      </c>
      <c r="EH20" t="e">
        <f>AND(Lists!G1,"AAAAAGb+2ok=")</f>
        <v>#VALUE!</v>
      </c>
      <c r="EI20" t="e">
        <f>AND(Lists!H1,"AAAAAGb+2oo=")</f>
        <v>#VALUE!</v>
      </c>
      <c r="EJ20" t="e">
        <f>AND(Lists!I1,"AAAAAGb+2os=")</f>
        <v>#VALUE!</v>
      </c>
      <c r="EK20" t="e">
        <f>AND(Lists!J1,"AAAAAGb+2ow=")</f>
        <v>#VALUE!</v>
      </c>
      <c r="EL20" t="e">
        <f>AND(Lists!K1,"AAAAAGb+2o0=")</f>
        <v>#VALUE!</v>
      </c>
      <c r="EM20" t="e">
        <f>AND(Lists!L1,"AAAAAGb+2o4=")</f>
        <v>#VALUE!</v>
      </c>
      <c r="EN20">
        <f>IF(Lists!2:2,"AAAAAGb+2o8=",0)</f>
        <v>0</v>
      </c>
      <c r="EO20" t="e">
        <f>AND(Lists!A2,"AAAAAGb+2pA=")</f>
        <v>#VALUE!</v>
      </c>
      <c r="EP20" t="e">
        <f>AND(Lists!B2,"AAAAAGb+2pE=")</f>
        <v>#VALUE!</v>
      </c>
      <c r="EQ20" t="e">
        <f>AND(Lists!C2,"AAAAAGb+2pI=")</f>
        <v>#VALUE!</v>
      </c>
      <c r="ER20" t="e">
        <f>AND(Lists!D2,"AAAAAGb+2pM=")</f>
        <v>#VALUE!</v>
      </c>
      <c r="ES20" t="e">
        <f>AND(Lists!E2,"AAAAAGb+2pQ=")</f>
        <v>#VALUE!</v>
      </c>
      <c r="ET20" t="e">
        <f>AND(Lists!F2,"AAAAAGb+2pU=")</f>
        <v>#VALUE!</v>
      </c>
      <c r="EU20" t="e">
        <f>AND(Lists!G2,"AAAAAGb+2pY=")</f>
        <v>#VALUE!</v>
      </c>
      <c r="EV20" t="e">
        <f>AND(Lists!H2,"AAAAAGb+2pc=")</f>
        <v>#VALUE!</v>
      </c>
      <c r="EW20" t="e">
        <f>AND(Lists!I2,"AAAAAGb+2pg=")</f>
        <v>#VALUE!</v>
      </c>
      <c r="EX20" t="e">
        <f>AND(Lists!J2,"AAAAAGb+2pk=")</f>
        <v>#VALUE!</v>
      </c>
      <c r="EY20" t="e">
        <f>AND(Lists!K2,"AAAAAGb+2po=")</f>
        <v>#VALUE!</v>
      </c>
      <c r="EZ20" t="e">
        <f>AND(Lists!L2,"AAAAAGb+2ps=")</f>
        <v>#VALUE!</v>
      </c>
      <c r="FA20">
        <f>IF(Lists!3:3,"AAAAAGb+2pw=",0)</f>
        <v>0</v>
      </c>
      <c r="FB20" t="e">
        <f>AND(Lists!A3,"AAAAAGb+2p0=")</f>
        <v>#VALUE!</v>
      </c>
      <c r="FC20" t="e">
        <f>AND(Lists!B3,"AAAAAGb+2p4=")</f>
        <v>#VALUE!</v>
      </c>
      <c r="FD20" t="e">
        <f>AND(Lists!C3,"AAAAAGb+2p8=")</f>
        <v>#VALUE!</v>
      </c>
      <c r="FE20" t="e">
        <f>AND(Lists!D3,"AAAAAGb+2qA=")</f>
        <v>#VALUE!</v>
      </c>
      <c r="FF20" t="e">
        <f>AND(Lists!E3,"AAAAAGb+2qE=")</f>
        <v>#VALUE!</v>
      </c>
      <c r="FG20" t="e">
        <f>AND(Lists!F3,"AAAAAGb+2qI=")</f>
        <v>#VALUE!</v>
      </c>
      <c r="FH20" t="e">
        <f>AND(Lists!G3,"AAAAAGb+2qM=")</f>
        <v>#VALUE!</v>
      </c>
      <c r="FI20" t="e">
        <f>AND(Lists!H3,"AAAAAGb+2qQ=")</f>
        <v>#VALUE!</v>
      </c>
      <c r="FJ20" t="e">
        <f>AND(Lists!I3,"AAAAAGb+2qU=")</f>
        <v>#VALUE!</v>
      </c>
      <c r="FK20" t="e">
        <f>AND(Lists!J3,"AAAAAGb+2qY=")</f>
        <v>#VALUE!</v>
      </c>
      <c r="FL20" t="e">
        <f>AND(Lists!K3,"AAAAAGb+2qc=")</f>
        <v>#VALUE!</v>
      </c>
      <c r="FM20" t="e">
        <f>AND(Lists!L3,"AAAAAGb+2qg=")</f>
        <v>#VALUE!</v>
      </c>
      <c r="FN20">
        <f>IF(Lists!4:4,"AAAAAGb+2qk=",0)</f>
        <v>0</v>
      </c>
      <c r="FO20" t="e">
        <f>AND(Lists!A4,"AAAAAGb+2qo=")</f>
        <v>#VALUE!</v>
      </c>
      <c r="FP20" t="e">
        <f>AND(Lists!B4,"AAAAAGb+2qs=")</f>
        <v>#VALUE!</v>
      </c>
      <c r="FQ20" t="e">
        <f>AND(Lists!C4,"AAAAAGb+2qw=")</f>
        <v>#VALUE!</v>
      </c>
      <c r="FR20" t="b">
        <f>AND(Lists!D4,"AAAAAGb+2q0=")</f>
        <v>1</v>
      </c>
      <c r="FS20" t="e">
        <f>AND(Lists!E4,"AAAAAGb+2q4=")</f>
        <v>#VALUE!</v>
      </c>
      <c r="FT20" t="b">
        <f>AND(Lists!F4,"AAAAAGb+2q8=")</f>
        <v>1</v>
      </c>
      <c r="FU20" t="e">
        <f>AND(Lists!G4,"AAAAAGb+2rA=")</f>
        <v>#VALUE!</v>
      </c>
      <c r="FV20" t="b">
        <f>AND(Lists!H4,"AAAAAGb+2rE=")</f>
        <v>1</v>
      </c>
      <c r="FW20" t="e">
        <f>AND(Lists!I4,"AAAAAGb+2rI=")</f>
        <v>#VALUE!</v>
      </c>
      <c r="FX20" t="e">
        <f>AND(Lists!J4,"AAAAAGb+2rM=")</f>
        <v>#VALUE!</v>
      </c>
      <c r="FY20" t="b">
        <f>AND(Lists!K4,"AAAAAGb+2rQ=")</f>
        <v>1</v>
      </c>
      <c r="FZ20" t="e">
        <f>AND(Lists!L4,"AAAAAGb+2rU=")</f>
        <v>#VALUE!</v>
      </c>
      <c r="GA20">
        <f>IF(Lists!5:5,"AAAAAGb+2rY=",0)</f>
        <v>0</v>
      </c>
      <c r="GB20" t="e">
        <f>AND(Lists!A5,"AAAAAGb+2rc=")</f>
        <v>#VALUE!</v>
      </c>
      <c r="GC20" t="e">
        <f>AND(Lists!B5,"AAAAAGb+2rg=")</f>
        <v>#VALUE!</v>
      </c>
      <c r="GD20" t="e">
        <f>AND(Lists!C5,"AAAAAGb+2rk=")</f>
        <v>#VALUE!</v>
      </c>
      <c r="GE20" t="b">
        <f>AND(Lists!D5,"AAAAAGb+2ro=")</f>
        <v>1</v>
      </c>
      <c r="GF20" t="e">
        <f>AND(Lists!E5,"AAAAAGb+2rs=")</f>
        <v>#VALUE!</v>
      </c>
      <c r="GG20" t="b">
        <f>AND(Lists!F5,"AAAAAGb+2rw=")</f>
        <v>1</v>
      </c>
      <c r="GH20" t="e">
        <f>AND(Lists!G5,"AAAAAGb+2r0=")</f>
        <v>#VALUE!</v>
      </c>
      <c r="GI20" t="b">
        <f>AND(Lists!H5,"AAAAAGb+2r4=")</f>
        <v>1</v>
      </c>
      <c r="GJ20" t="e">
        <f>AND(Lists!I5,"AAAAAGb+2r8=")</f>
        <v>#VALUE!</v>
      </c>
      <c r="GK20" t="e">
        <f>AND(Lists!J5,"AAAAAGb+2sA=")</f>
        <v>#VALUE!</v>
      </c>
      <c r="GL20" t="b">
        <f>AND(Lists!K5,"AAAAAGb+2sE=")</f>
        <v>1</v>
      </c>
      <c r="GM20" t="e">
        <f>AND(Lists!L5,"AAAAAGb+2sI=")</f>
        <v>#VALUE!</v>
      </c>
      <c r="GN20">
        <f>IF(Lists!6:6,"AAAAAGb+2sM=",0)</f>
        <v>0</v>
      </c>
      <c r="GO20" t="e">
        <f>AND(Lists!A6,"AAAAAGb+2sQ=")</f>
        <v>#VALUE!</v>
      </c>
      <c r="GP20" t="e">
        <f>AND(Lists!B6,"AAAAAGb+2sU=")</f>
        <v>#VALUE!</v>
      </c>
      <c r="GQ20" t="e">
        <f>AND(Lists!C6,"AAAAAGb+2sY=")</f>
        <v>#VALUE!</v>
      </c>
      <c r="GR20" t="b">
        <f>AND(Lists!D6,"AAAAAGb+2sc=")</f>
        <v>1</v>
      </c>
      <c r="GS20" t="e">
        <f>AND(Lists!E6,"AAAAAGb+2sg=")</f>
        <v>#VALUE!</v>
      </c>
      <c r="GT20" t="b">
        <f>AND(Lists!F6,"AAAAAGb+2sk=")</f>
        <v>1</v>
      </c>
      <c r="GU20" t="e">
        <f>AND(Lists!G6,"AAAAAGb+2so=")</f>
        <v>#VALUE!</v>
      </c>
      <c r="GV20" t="b">
        <f>AND(Lists!H6,"AAAAAGb+2ss=")</f>
        <v>1</v>
      </c>
      <c r="GW20" t="e">
        <f>AND(Lists!I6,"AAAAAGb+2sw=")</f>
        <v>#VALUE!</v>
      </c>
      <c r="GX20" t="e">
        <f>AND(Lists!J6,"AAAAAGb+2s0=")</f>
        <v>#VALUE!</v>
      </c>
      <c r="GY20" t="b">
        <f>AND(Lists!K6,"AAAAAGb+2s4=")</f>
        <v>1</v>
      </c>
      <c r="GZ20" t="e">
        <f>AND(Lists!L6,"AAAAAGb+2s8=")</f>
        <v>#VALUE!</v>
      </c>
      <c r="HA20">
        <f>IF(Lists!7:7,"AAAAAGb+2tA=",0)</f>
        <v>0</v>
      </c>
      <c r="HB20" t="e">
        <f>AND(Lists!A7,"AAAAAGb+2tE=")</f>
        <v>#VALUE!</v>
      </c>
      <c r="HC20" t="e">
        <f>AND(Lists!B7,"AAAAAGb+2tI=")</f>
        <v>#VALUE!</v>
      </c>
      <c r="HD20" t="e">
        <f>AND(Lists!C7,"AAAAAGb+2tM=")</f>
        <v>#VALUE!</v>
      </c>
      <c r="HE20" t="b">
        <f>AND(Lists!D9,"AAAAAGb+2tQ=")</f>
        <v>1</v>
      </c>
      <c r="HF20" t="e">
        <f>AND(Lists!E9,"AAAAAGb+2tU=")</f>
        <v>#VALUE!</v>
      </c>
      <c r="HG20" t="b">
        <f>AND(Lists!F9,"AAAAAGb+2tY=")</f>
        <v>1</v>
      </c>
      <c r="HH20" t="e">
        <f>AND(Lists!G7,"AAAAAGb+2tc=")</f>
        <v>#VALUE!</v>
      </c>
      <c r="HI20" t="b">
        <f>AND(Lists!H7,"AAAAAGb+2tg=")</f>
        <v>1</v>
      </c>
      <c r="HJ20" t="e">
        <f>AND(Lists!I7,"AAAAAGb+2tk=")</f>
        <v>#VALUE!</v>
      </c>
      <c r="HK20" t="e">
        <f>AND(Lists!J7,"AAAAAGb+2to=")</f>
        <v>#VALUE!</v>
      </c>
      <c r="HL20" t="b">
        <f>AND(Lists!K7,"AAAAAGb+2ts=")</f>
        <v>1</v>
      </c>
      <c r="HM20" t="e">
        <f>AND(Lists!L7,"AAAAAGb+2tw=")</f>
        <v>#VALUE!</v>
      </c>
      <c r="HN20">
        <f>IF(Lists!8:8,"AAAAAGb+2t0=",0)</f>
        <v>0</v>
      </c>
      <c r="HO20" t="e">
        <f>AND(Lists!A8,"AAAAAGb+2t4=")</f>
        <v>#VALUE!</v>
      </c>
      <c r="HP20" t="e">
        <f>AND(Lists!B8,"AAAAAGb+2t8=")</f>
        <v>#VALUE!</v>
      </c>
      <c r="HQ20" t="e">
        <f>AND(Lists!C8,"AAAAAGb+2uA=")</f>
        <v>#VALUE!</v>
      </c>
      <c r="HR20" t="b">
        <f>AND(Lists!D10,"AAAAAGb+2uE=")</f>
        <v>1</v>
      </c>
      <c r="HS20" t="e">
        <f>AND(Lists!E10,"AAAAAGb+2uI=")</f>
        <v>#VALUE!</v>
      </c>
      <c r="HT20" t="b">
        <f>AND(Lists!F10,"AAAAAGb+2uM=")</f>
        <v>1</v>
      </c>
      <c r="HU20" t="e">
        <f>AND(Lists!G8,"AAAAAGb+2uQ=")</f>
        <v>#VALUE!</v>
      </c>
      <c r="HV20" t="b">
        <f>AND(Lists!H8,"AAAAAGb+2uU=")</f>
        <v>1</v>
      </c>
      <c r="HW20" t="e">
        <f>AND(Lists!I8,"AAAAAGb+2uY=")</f>
        <v>#VALUE!</v>
      </c>
      <c r="HX20" t="e">
        <f>AND(Lists!J8,"AAAAAGb+2uc=")</f>
        <v>#VALUE!</v>
      </c>
      <c r="HY20" t="b">
        <f>AND(Lists!K8,"AAAAAGb+2ug=")</f>
        <v>1</v>
      </c>
      <c r="HZ20" t="b">
        <f>AND(Lists!L8,"AAAAAGb+2uk=")</f>
        <v>1</v>
      </c>
      <c r="IA20">
        <f>IF(Lists!9:9,"AAAAAGb+2uo=",0)</f>
        <v>0</v>
      </c>
      <c r="IB20" t="e">
        <f>AND(Lists!A9,"AAAAAGb+2us=")</f>
        <v>#VALUE!</v>
      </c>
      <c r="IC20" t="e">
        <f>AND(Lists!B9,"AAAAAGb+2uw=")</f>
        <v>#VALUE!</v>
      </c>
      <c r="ID20" t="e">
        <f>AND(Lists!C9,"AAAAAGb+2u0=")</f>
        <v>#VALUE!</v>
      </c>
      <c r="IE20" t="b">
        <f>AND(Lists!D11,"AAAAAGb+2u4=")</f>
        <v>1</v>
      </c>
      <c r="IF20" t="e">
        <f>AND(Lists!E11,"AAAAAGb+2u8=")</f>
        <v>#VALUE!</v>
      </c>
      <c r="IG20" t="b">
        <f>AND(Lists!F11,"AAAAAGb+2vA=")</f>
        <v>1</v>
      </c>
      <c r="IH20" t="e">
        <f>AND(Lists!G9,"AAAAAGb+2vE=")</f>
        <v>#VALUE!</v>
      </c>
      <c r="II20" t="b">
        <f>AND(Lists!H9,"AAAAAGb+2vI=")</f>
        <v>1</v>
      </c>
      <c r="IJ20" t="e">
        <f>AND(Lists!I9,"AAAAAGb+2vM=")</f>
        <v>#VALUE!</v>
      </c>
      <c r="IK20" t="e">
        <f>AND(Lists!J9,"AAAAAGb+2vQ=")</f>
        <v>#VALUE!</v>
      </c>
      <c r="IL20" t="b">
        <f>AND(Lists!K9,"AAAAAGb+2vU=")</f>
        <v>1</v>
      </c>
      <c r="IM20" t="b">
        <f>AND(Lists!L9,"AAAAAGb+2vY=")</f>
        <v>1</v>
      </c>
      <c r="IN20">
        <f>IF(Lists!10:10,"AAAAAGb+2vc=",0)</f>
        <v>0</v>
      </c>
      <c r="IO20" t="e">
        <f>AND(Lists!A10,"AAAAAGb+2vg=")</f>
        <v>#VALUE!</v>
      </c>
      <c r="IP20" t="e">
        <f>AND(Lists!B10,"AAAAAGb+2vk=")</f>
        <v>#VALUE!</v>
      </c>
      <c r="IQ20" t="e">
        <f>AND(Lists!C10,"AAAAAGb+2vo=")</f>
        <v>#VALUE!</v>
      </c>
      <c r="IR20" t="b">
        <f>AND(Lists!D12,"AAAAAGb+2vs=")</f>
        <v>1</v>
      </c>
      <c r="IS20" t="e">
        <f>AND(Lists!E12,"AAAAAGb+2vw=")</f>
        <v>#VALUE!</v>
      </c>
      <c r="IT20" t="b">
        <f>AND(Lists!F12,"AAAAAGb+2v0=")</f>
        <v>1</v>
      </c>
      <c r="IU20" t="e">
        <f>AND(Lists!G10,"AAAAAGb+2v4=")</f>
        <v>#VALUE!</v>
      </c>
      <c r="IV20" t="b">
        <f>AND(Lists!H10,"AAAAAGb+2v8=")</f>
        <v>1</v>
      </c>
    </row>
    <row r="21" spans="1:256" x14ac:dyDescent="0.25">
      <c r="A21" t="e">
        <f>AND(Lists!I10,"AAAAAHfftQA=")</f>
        <v>#VALUE!</v>
      </c>
      <c r="B21" t="e">
        <f>AND(Lists!J10,"AAAAAHfftQE=")</f>
        <v>#VALUE!</v>
      </c>
      <c r="C21" t="b">
        <f>AND(Lists!K10,"AAAAAHfftQI=")</f>
        <v>1</v>
      </c>
      <c r="D21" t="b">
        <f>AND(Lists!L10,"AAAAAHfftQM=")</f>
        <v>1</v>
      </c>
      <c r="E21" t="e">
        <f>IF(Lists!11:11,"AAAAAHfftQQ=",0)</f>
        <v>#VALUE!</v>
      </c>
      <c r="F21" t="e">
        <f>AND(Lists!A11,"AAAAAHfftQU=")</f>
        <v>#VALUE!</v>
      </c>
      <c r="G21" t="e">
        <f>AND(Lists!B11,"AAAAAHfftQY=")</f>
        <v>#VALUE!</v>
      </c>
      <c r="H21" t="e">
        <f>AND(Lists!C11,"AAAAAHfftQc=")</f>
        <v>#VALUE!</v>
      </c>
      <c r="I21" t="b">
        <f>AND(Lists!D13,"AAAAAHfftQg=")</f>
        <v>1</v>
      </c>
      <c r="J21" t="e">
        <f>AND(Lists!E13,"AAAAAHfftQk=")</f>
        <v>#VALUE!</v>
      </c>
      <c r="K21" t="b">
        <f>AND(Lists!F13,"AAAAAHfftQo=")</f>
        <v>1</v>
      </c>
      <c r="L21" t="e">
        <f>AND(Lists!G11,"AAAAAHfftQs=")</f>
        <v>#VALUE!</v>
      </c>
      <c r="M21" t="b">
        <f>AND(Lists!H11,"AAAAAHfftQw=")</f>
        <v>1</v>
      </c>
      <c r="N21" t="e">
        <f>AND(Lists!I11,"AAAAAHfftQ0=")</f>
        <v>#VALUE!</v>
      </c>
      <c r="O21" t="e">
        <f>AND(Lists!J11,"AAAAAHfftQ4=")</f>
        <v>#VALUE!</v>
      </c>
      <c r="P21" t="b">
        <f>AND(Lists!K11,"AAAAAHfftQ8=")</f>
        <v>1</v>
      </c>
      <c r="Q21" t="b">
        <f>AND(Lists!L11,"AAAAAHfftRA=")</f>
        <v>1</v>
      </c>
      <c r="R21">
        <f>IF(Lists!12:12,"AAAAAHfftRE=",0)</f>
        <v>0</v>
      </c>
      <c r="S21" t="e">
        <f>AND(Lists!A12,"AAAAAHfftRI=")</f>
        <v>#VALUE!</v>
      </c>
      <c r="T21" t="e">
        <f>AND(Lists!B12,"AAAAAHfftRM=")</f>
        <v>#VALUE!</v>
      </c>
      <c r="U21" t="e">
        <f>AND(Lists!C12,"AAAAAHfftRQ=")</f>
        <v>#VALUE!</v>
      </c>
      <c r="V21" t="b">
        <f>AND(Lists!D14,"AAAAAHfftRU=")</f>
        <v>1</v>
      </c>
      <c r="W21" t="e">
        <f>AND(Lists!E14,"AAAAAHfftRY=")</f>
        <v>#VALUE!</v>
      </c>
      <c r="X21" t="b">
        <f>AND(Lists!F14,"AAAAAHfftRc=")</f>
        <v>1</v>
      </c>
      <c r="Y21" t="e">
        <f>AND(Lists!G12,"AAAAAHfftRg=")</f>
        <v>#VALUE!</v>
      </c>
      <c r="Z21" t="b">
        <f>AND(Lists!H12,"AAAAAHfftRk=")</f>
        <v>1</v>
      </c>
      <c r="AA21" t="e">
        <f>AND(Lists!I12,"AAAAAHfftRo=")</f>
        <v>#VALUE!</v>
      </c>
      <c r="AB21" t="e">
        <f>AND(Lists!J12,"AAAAAHfftRs=")</f>
        <v>#VALUE!</v>
      </c>
      <c r="AC21" t="b">
        <f>AND(Lists!K12,"AAAAAHfftRw=")</f>
        <v>1</v>
      </c>
      <c r="AD21" t="b">
        <f>AND(Lists!L12,"AAAAAHfftR0=")</f>
        <v>1</v>
      </c>
      <c r="AE21">
        <f>IF(Lists!13:13,"AAAAAHfftR4=",0)</f>
        <v>0</v>
      </c>
      <c r="AF21" t="e">
        <f>AND(Lists!A13,"AAAAAHfftR8=")</f>
        <v>#VALUE!</v>
      </c>
      <c r="AG21" t="e">
        <f>AND(Lists!B13,"AAAAAHfftSA=")</f>
        <v>#VALUE!</v>
      </c>
      <c r="AH21" t="e">
        <f>AND(Lists!C13,"AAAAAHfftSE=")</f>
        <v>#VALUE!</v>
      </c>
      <c r="AI21" t="b">
        <f>AND(Lists!D15,"AAAAAHfftSI=")</f>
        <v>1</v>
      </c>
      <c r="AJ21" t="e">
        <f>AND(Lists!E15,"AAAAAHfftSM=")</f>
        <v>#VALUE!</v>
      </c>
      <c r="AK21" t="b">
        <f>AND(Lists!F15,"AAAAAHfftSQ=")</f>
        <v>1</v>
      </c>
      <c r="AL21" t="e">
        <f>AND(Lists!G13,"AAAAAHfftSU=")</f>
        <v>#VALUE!</v>
      </c>
      <c r="AM21" t="b">
        <f>AND(Lists!H13,"AAAAAHfftSY=")</f>
        <v>1</v>
      </c>
      <c r="AN21" t="e">
        <f>AND(Lists!I13,"AAAAAHfftSc=")</f>
        <v>#VALUE!</v>
      </c>
      <c r="AO21" t="e">
        <f>AND(Lists!J13,"AAAAAHfftSg=")</f>
        <v>#VALUE!</v>
      </c>
      <c r="AP21" t="b">
        <f>AND(Lists!K13,"AAAAAHfftSk=")</f>
        <v>1</v>
      </c>
      <c r="AQ21" t="b">
        <f>AND(Lists!L13,"AAAAAHfftSo=")</f>
        <v>1</v>
      </c>
      <c r="AR21">
        <f>IF(Lists!14:14,"AAAAAHfftSs=",0)</f>
        <v>0</v>
      </c>
      <c r="AS21" t="e">
        <f>AND(Lists!A14,"AAAAAHfftSw=")</f>
        <v>#VALUE!</v>
      </c>
      <c r="AT21" t="e">
        <f>AND(Lists!B14,"AAAAAHfftS0=")</f>
        <v>#VALUE!</v>
      </c>
      <c r="AU21" t="e">
        <f>AND(Lists!C14,"AAAAAHfftS4=")</f>
        <v>#VALUE!</v>
      </c>
      <c r="AV21" t="b">
        <f>AND(Lists!D16,"AAAAAHfftS8=")</f>
        <v>1</v>
      </c>
      <c r="AW21" t="e">
        <f>AND(Lists!E16,"AAAAAHfftTA=")</f>
        <v>#VALUE!</v>
      </c>
      <c r="AX21" t="b">
        <f>AND(Lists!F16,"AAAAAHfftTE=")</f>
        <v>1</v>
      </c>
      <c r="AY21" t="e">
        <f>AND(Lists!G14,"AAAAAHfftTI=")</f>
        <v>#VALUE!</v>
      </c>
      <c r="AZ21" t="b">
        <f>AND(Lists!H14,"AAAAAHfftTM=")</f>
        <v>1</v>
      </c>
      <c r="BA21" t="e">
        <f>AND(Lists!I14,"AAAAAHfftTQ=")</f>
        <v>#VALUE!</v>
      </c>
      <c r="BB21" t="e">
        <f>AND(Lists!J14,"AAAAAHfftTU=")</f>
        <v>#VALUE!</v>
      </c>
      <c r="BC21" t="b">
        <f>AND(Lists!K14,"AAAAAHfftTY=")</f>
        <v>1</v>
      </c>
      <c r="BD21" t="e">
        <f>AND(Lists!L14,"AAAAAHfftTc=")</f>
        <v>#VALUE!</v>
      </c>
      <c r="BE21">
        <f>IF(Lists!15:15,"AAAAAHfftTg=",0)</f>
        <v>0</v>
      </c>
      <c r="BF21" t="e">
        <f>AND(Lists!A15,"AAAAAHfftTk=")</f>
        <v>#VALUE!</v>
      </c>
      <c r="BG21" t="e">
        <f>AND(Lists!B15,"AAAAAHfftTo=")</f>
        <v>#VALUE!</v>
      </c>
      <c r="BH21" t="e">
        <f>AND(Lists!C15,"AAAAAHfftTs=")</f>
        <v>#VALUE!</v>
      </c>
      <c r="BI21" t="b">
        <f>AND(Lists!D17,"AAAAAHfftTw=")</f>
        <v>1</v>
      </c>
      <c r="BJ21" t="e">
        <f>AND(Lists!E17,"AAAAAHfftT0=")</f>
        <v>#VALUE!</v>
      </c>
      <c r="BK21" t="b">
        <f>AND(Lists!F17,"AAAAAHfftT4=")</f>
        <v>1</v>
      </c>
      <c r="BL21" t="e">
        <f>AND(Lists!G15,"AAAAAHfftT8=")</f>
        <v>#VALUE!</v>
      </c>
      <c r="BM21" t="b">
        <f>AND(Lists!H15,"AAAAAHfftUA=")</f>
        <v>1</v>
      </c>
      <c r="BN21" t="e">
        <f>AND(Lists!I15,"AAAAAHfftUE=")</f>
        <v>#VALUE!</v>
      </c>
      <c r="BO21" t="e">
        <f>AND(Lists!J15,"AAAAAHfftUI=")</f>
        <v>#VALUE!</v>
      </c>
      <c r="BP21" t="b">
        <f>AND(Lists!K15,"AAAAAHfftUM=")</f>
        <v>1</v>
      </c>
      <c r="BQ21" t="e">
        <f>AND(Lists!L15,"AAAAAHfftUQ=")</f>
        <v>#VALUE!</v>
      </c>
      <c r="BR21">
        <f>IF(Lists!16:16,"AAAAAHfftUU=",0)</f>
        <v>0</v>
      </c>
      <c r="BS21" t="e">
        <f>AND(Lists!A16,"AAAAAHfftUY=")</f>
        <v>#VALUE!</v>
      </c>
      <c r="BT21" t="e">
        <f>AND(Lists!B16,"AAAAAHfftUc=")</f>
        <v>#VALUE!</v>
      </c>
      <c r="BU21" t="e">
        <f>AND(Lists!C16,"AAAAAHfftUg=")</f>
        <v>#VALUE!</v>
      </c>
      <c r="BV21" t="b">
        <f>AND(Lists!D18,"AAAAAHfftUk=")</f>
        <v>1</v>
      </c>
      <c r="BW21" t="e">
        <f>AND(Lists!E18,"AAAAAHfftUo=")</f>
        <v>#VALUE!</v>
      </c>
      <c r="BX21" t="b">
        <f>AND(Lists!F18,"AAAAAHfftUs=")</f>
        <v>1</v>
      </c>
      <c r="BY21" t="e">
        <f>AND(Lists!G16,"AAAAAHfftUw=")</f>
        <v>#VALUE!</v>
      </c>
      <c r="BZ21" t="b">
        <f>AND(Lists!H16,"AAAAAHfftU0=")</f>
        <v>1</v>
      </c>
      <c r="CA21" t="e">
        <f>AND(Lists!I16,"AAAAAHfftU4=")</f>
        <v>#VALUE!</v>
      </c>
      <c r="CB21" t="e">
        <f>AND(Lists!J16,"AAAAAHfftU8=")</f>
        <v>#VALUE!</v>
      </c>
      <c r="CC21" t="b">
        <f>AND(Lists!K16,"AAAAAHfftVA=")</f>
        <v>1</v>
      </c>
      <c r="CD21" t="e">
        <f>AND(Lists!L16,"AAAAAHfftVE=")</f>
        <v>#VALUE!</v>
      </c>
      <c r="CE21">
        <f>IF(Lists!17:17,"AAAAAHfftVI=",0)</f>
        <v>0</v>
      </c>
      <c r="CF21" t="e">
        <f>AND(Lists!A17,"AAAAAHfftVM=")</f>
        <v>#VALUE!</v>
      </c>
      <c r="CG21" t="e">
        <f>AND(Lists!B17,"AAAAAHfftVQ=")</f>
        <v>#VALUE!</v>
      </c>
      <c r="CH21" t="e">
        <f>AND(Lists!C17,"AAAAAHfftVU=")</f>
        <v>#VALUE!</v>
      </c>
      <c r="CI21" t="b">
        <f>AND(Lists!D19,"AAAAAHfftVY=")</f>
        <v>1</v>
      </c>
      <c r="CJ21" t="e">
        <f>AND(Lists!E19,"AAAAAHfftVc=")</f>
        <v>#VALUE!</v>
      </c>
      <c r="CK21" t="b">
        <f>AND(Lists!F19,"AAAAAHfftVg=")</f>
        <v>1</v>
      </c>
      <c r="CL21" t="e">
        <f>AND(Lists!G17,"AAAAAHfftVk=")</f>
        <v>#VALUE!</v>
      </c>
      <c r="CM21" t="b">
        <f>AND(Lists!H17,"AAAAAHfftVo=")</f>
        <v>1</v>
      </c>
      <c r="CN21" t="e">
        <f>AND(Lists!I17,"AAAAAHfftVs=")</f>
        <v>#VALUE!</v>
      </c>
      <c r="CO21" t="e">
        <f>AND(Lists!J17,"AAAAAHfftVw=")</f>
        <v>#VALUE!</v>
      </c>
      <c r="CP21" t="b">
        <f>AND(Lists!K17,"AAAAAHfftV0=")</f>
        <v>1</v>
      </c>
      <c r="CQ21" t="e">
        <f>AND(Lists!L17,"AAAAAHfftV4=")</f>
        <v>#VALUE!</v>
      </c>
      <c r="CR21">
        <f>IF(Lists!18:18,"AAAAAHfftV8=",0)</f>
        <v>0</v>
      </c>
      <c r="CS21" t="e">
        <f>AND(Lists!A18,"AAAAAHfftWA=")</f>
        <v>#VALUE!</v>
      </c>
      <c r="CT21" t="e">
        <f>AND(Lists!B18,"AAAAAHfftWE=")</f>
        <v>#VALUE!</v>
      </c>
      <c r="CU21" t="e">
        <f>AND(Lists!C18,"AAAAAHfftWI=")</f>
        <v>#VALUE!</v>
      </c>
      <c r="CV21" t="b">
        <f>AND(Lists!D20,"AAAAAHfftWM=")</f>
        <v>1</v>
      </c>
      <c r="CW21" t="e">
        <f>AND(Lists!E20,"AAAAAHfftWQ=")</f>
        <v>#VALUE!</v>
      </c>
      <c r="CX21" t="b">
        <f>AND(Lists!F20,"AAAAAHfftWU=")</f>
        <v>1</v>
      </c>
      <c r="CY21" t="e">
        <f>AND(Lists!G18,"AAAAAHfftWY=")</f>
        <v>#VALUE!</v>
      </c>
      <c r="CZ21" t="b">
        <f>AND(Lists!H18,"AAAAAHfftWc=")</f>
        <v>1</v>
      </c>
      <c r="DA21" t="e">
        <f>AND(Lists!I18,"AAAAAHfftWg=")</f>
        <v>#VALUE!</v>
      </c>
      <c r="DB21" t="e">
        <f>AND(Lists!J18,"AAAAAHfftWk=")</f>
        <v>#VALUE!</v>
      </c>
      <c r="DC21" t="b">
        <f>AND(Lists!K18,"AAAAAHfftWo=")</f>
        <v>1</v>
      </c>
      <c r="DD21" t="e">
        <f>AND(Lists!L18,"AAAAAHfftWs=")</f>
        <v>#VALUE!</v>
      </c>
      <c r="DE21">
        <f>IF(Lists!19:19,"AAAAAHfftWw=",0)</f>
        <v>0</v>
      </c>
      <c r="DF21" t="e">
        <f>AND(Lists!A19,"AAAAAHfftW0=")</f>
        <v>#VALUE!</v>
      </c>
      <c r="DG21" t="e">
        <f>AND(Lists!B19,"AAAAAHfftW4=")</f>
        <v>#VALUE!</v>
      </c>
      <c r="DH21" t="e">
        <f>AND(Lists!C19,"AAAAAHfftW8=")</f>
        <v>#VALUE!</v>
      </c>
      <c r="DI21" t="e">
        <f>AND(Lists!D21,"AAAAAHfftXA=")</f>
        <v>#VALUE!</v>
      </c>
      <c r="DJ21" t="e">
        <f>AND(Lists!E21,"AAAAAHfftXE=")</f>
        <v>#VALUE!</v>
      </c>
      <c r="DK21" t="e">
        <f>AND(Lists!F21,"AAAAAHfftXI=")</f>
        <v>#VALUE!</v>
      </c>
      <c r="DL21" t="e">
        <f>AND(Lists!G19,"AAAAAHfftXM=")</f>
        <v>#VALUE!</v>
      </c>
      <c r="DM21" t="b">
        <f>AND(Lists!H19,"AAAAAHfftXQ=")</f>
        <v>1</v>
      </c>
      <c r="DN21" t="e">
        <f>AND(Lists!I19,"AAAAAHfftXU=")</f>
        <v>#VALUE!</v>
      </c>
      <c r="DO21" t="e">
        <f>AND(Lists!J19,"AAAAAHfftXY=")</f>
        <v>#VALUE!</v>
      </c>
      <c r="DP21" t="b">
        <f>AND(Lists!K19,"AAAAAHfftXc=")</f>
        <v>1</v>
      </c>
      <c r="DQ21" t="e">
        <f>AND(Lists!L19,"AAAAAHfftXg=")</f>
        <v>#VALUE!</v>
      </c>
      <c r="DR21">
        <f>IF(Lists!20:20,"AAAAAHfftXk=",0)</f>
        <v>0</v>
      </c>
      <c r="DS21" t="e">
        <f>AND(Lists!A20,"AAAAAHfftXo=")</f>
        <v>#VALUE!</v>
      </c>
      <c r="DT21" t="e">
        <f>AND(Lists!B20,"AAAAAHfftXs=")</f>
        <v>#VALUE!</v>
      </c>
      <c r="DU21" t="e">
        <f>AND(Lists!C20,"AAAAAHfftXw=")</f>
        <v>#VALUE!</v>
      </c>
      <c r="DV21" t="e">
        <f>AND(Lists!D22,"AAAAAHfftX0=")</f>
        <v>#VALUE!</v>
      </c>
      <c r="DW21" t="e">
        <f>AND(Lists!E22,"AAAAAHfftX4=")</f>
        <v>#VALUE!</v>
      </c>
      <c r="DX21" t="e">
        <f>AND(Lists!F22,"AAAAAHfftX8=")</f>
        <v>#VALUE!</v>
      </c>
      <c r="DY21" t="e">
        <f>AND(Lists!G20,"AAAAAHfftYA=")</f>
        <v>#VALUE!</v>
      </c>
      <c r="DZ21" t="b">
        <f>AND(Lists!H20,"AAAAAHfftYE=")</f>
        <v>1</v>
      </c>
      <c r="EA21" t="e">
        <f>AND(Lists!I20,"AAAAAHfftYI=")</f>
        <v>#VALUE!</v>
      </c>
      <c r="EB21" t="e">
        <f>AND(Lists!J20,"AAAAAHfftYM=")</f>
        <v>#VALUE!</v>
      </c>
      <c r="EC21" t="b">
        <f>AND(Lists!K20,"AAAAAHfftYQ=")</f>
        <v>1</v>
      </c>
      <c r="ED21" t="e">
        <f>AND(Lists!L20,"AAAAAHfftYU=")</f>
        <v>#VALUE!</v>
      </c>
      <c r="EE21">
        <f>IF(Lists!21:21,"AAAAAHfftYY=",0)</f>
        <v>0</v>
      </c>
      <c r="EF21" t="e">
        <f>AND(Lists!A21,"AAAAAHfftYc=")</f>
        <v>#VALUE!</v>
      </c>
      <c r="EG21" t="e">
        <f>AND(Lists!B21,"AAAAAHfftYg=")</f>
        <v>#VALUE!</v>
      </c>
      <c r="EH21" t="e">
        <f>AND(Lists!C21,"AAAAAHfftYk=")</f>
        <v>#VALUE!</v>
      </c>
      <c r="EI21" t="e">
        <f>AND(Lists!D23,"AAAAAHfftYo=")</f>
        <v>#VALUE!</v>
      </c>
      <c r="EJ21" t="e">
        <f>AND(Lists!E23,"AAAAAHfftYs=")</f>
        <v>#VALUE!</v>
      </c>
      <c r="EK21" t="e">
        <f>AND(Lists!F23,"AAAAAHfftYw=")</f>
        <v>#VALUE!</v>
      </c>
      <c r="EL21" t="e">
        <f>AND(Lists!G21,"AAAAAHfftY0=")</f>
        <v>#VALUE!</v>
      </c>
      <c r="EM21" t="b">
        <f>AND(Lists!H21,"AAAAAHfftY4=")</f>
        <v>1</v>
      </c>
      <c r="EN21" t="e">
        <f>AND(Lists!I21,"AAAAAHfftY8=")</f>
        <v>#VALUE!</v>
      </c>
      <c r="EO21" t="e">
        <f>AND(Lists!J21,"AAAAAHfftZA=")</f>
        <v>#VALUE!</v>
      </c>
      <c r="EP21" t="b">
        <f>AND(Lists!K21,"AAAAAHfftZE=")</f>
        <v>1</v>
      </c>
      <c r="EQ21" t="e">
        <f>AND(Lists!L21,"AAAAAHfftZI=")</f>
        <v>#VALUE!</v>
      </c>
      <c r="ER21">
        <f>IF(Lists!A:A,"AAAAAHfftZM=",0)</f>
        <v>0</v>
      </c>
      <c r="ES21">
        <f>IF(Lists!B:B,"AAAAAHfftZQ=",0)</f>
        <v>0</v>
      </c>
      <c r="ET21">
        <f>IF(Lists!C:C,"AAAAAHfftZU=",0)</f>
        <v>0</v>
      </c>
      <c r="EU21">
        <f>IF(Lists!D:D,"AAAAAHfftZY=",0)</f>
        <v>0</v>
      </c>
      <c r="EV21">
        <f>IF(Lists!E:E,"AAAAAHfftZc=",0)</f>
        <v>0</v>
      </c>
      <c r="EW21">
        <f>IF(Lists!F:F,"AAAAAHfftZg=",0)</f>
        <v>0</v>
      </c>
      <c r="EX21">
        <f>IF(Lists!G:G,"AAAAAHfftZk=",0)</f>
        <v>0</v>
      </c>
      <c r="EY21" t="str">
        <f>IF(Lists!H:H,"AAAAAHfftZo=",0)</f>
        <v>AAAAAHfftZo=</v>
      </c>
      <c r="EZ21" t="e">
        <f>IF(Lists!I:I,"AAAAAHfftZs=",0)</f>
        <v>#VALUE!</v>
      </c>
      <c r="FA21">
        <f>IF(Lists!J:J,"AAAAAHfftZw=",0)</f>
        <v>0</v>
      </c>
      <c r="FB21" t="str">
        <f>IF(Lists!K:K,"AAAAAHfftZ0=",0)</f>
        <v>AAAAAHfftZ0=</v>
      </c>
      <c r="FC21" t="e">
        <f>IF(Lists!L:L,"AAAAAHfftZ4=",0)</f>
        <v>#VALUE!</v>
      </c>
      <c r="FD21">
        <f>IF(ConsolidatedEventList!1:1,"AAAAAHfftZ8=",0)</f>
        <v>0</v>
      </c>
      <c r="FE21" t="e">
        <f>AND(ConsolidatedEventList!A1,"AAAAAHfftaA=")</f>
        <v>#VALUE!</v>
      </c>
      <c r="FF21" t="e">
        <f>AND(ConsolidatedEventList!B1,"AAAAAHfftaE=")</f>
        <v>#VALUE!</v>
      </c>
      <c r="FG21" t="e">
        <f>AND(ConsolidatedEventList!C1,"AAAAAHfftaI=")</f>
        <v>#VALUE!</v>
      </c>
      <c r="FH21" t="e">
        <f>AND(ConsolidatedEventList!D1,"AAAAAHfftaM=")</f>
        <v>#VALUE!</v>
      </c>
      <c r="FI21" t="e">
        <f>AND(ConsolidatedEventList!E1,"AAAAAHfftaQ=")</f>
        <v>#VALUE!</v>
      </c>
      <c r="FJ21" t="e">
        <f>AND(ConsolidatedEventList!F1,"AAAAAHfftaU=")</f>
        <v>#VALUE!</v>
      </c>
      <c r="FK21" t="e">
        <f>AND(ConsolidatedEventList!G1,"AAAAAHfftaY=")</f>
        <v>#VALUE!</v>
      </c>
      <c r="FL21" t="e">
        <f>AND(ConsolidatedEventList!H1,"AAAAAHfftac=")</f>
        <v>#VALUE!</v>
      </c>
      <c r="FM21" t="e">
        <f>AND(ConsolidatedEventList!#REF!,"AAAAAHfftag=")</f>
        <v>#REF!</v>
      </c>
      <c r="FN21">
        <f>IF(ConsolidatedEventList!2:2,"AAAAAHfftak=",0)</f>
        <v>0</v>
      </c>
      <c r="FO21" t="e">
        <f>AND(ConsolidatedEventList!A2,"AAAAAHfftao=")</f>
        <v>#VALUE!</v>
      </c>
      <c r="FP21" t="e">
        <f>AND(ConsolidatedEventList!B2,"AAAAAHfftas=")</f>
        <v>#VALUE!</v>
      </c>
      <c r="FQ21" t="e">
        <f>AND(ConsolidatedEventList!C2,"AAAAAHfftaw=")</f>
        <v>#VALUE!</v>
      </c>
      <c r="FR21" t="e">
        <f>AND(ConsolidatedEventList!D2,"AAAAAHffta0=")</f>
        <v>#VALUE!</v>
      </c>
      <c r="FS21" t="e">
        <f>AND(ConsolidatedEventList!E2,"AAAAAHffta4=")</f>
        <v>#VALUE!</v>
      </c>
      <c r="FT21" t="e">
        <f>AND(ConsolidatedEventList!F2,"AAAAAHffta8=")</f>
        <v>#VALUE!</v>
      </c>
      <c r="FU21" t="e">
        <f>AND(ConsolidatedEventList!G2,"AAAAAHfftbA=")</f>
        <v>#VALUE!</v>
      </c>
      <c r="FV21" t="e">
        <f>AND(ConsolidatedEventList!H2,"AAAAAHfftbE=")</f>
        <v>#VALUE!</v>
      </c>
      <c r="FW21" t="e">
        <f>AND(ConsolidatedEventList!#REF!,"AAAAAHfftbI=")</f>
        <v>#REF!</v>
      </c>
      <c r="FX21">
        <f>IF(ConsolidatedEventList!3:3,"AAAAAHfftbM=",0)</f>
        <v>0</v>
      </c>
      <c r="FY21" t="e">
        <f>AND(ConsolidatedEventList!A3,"AAAAAHfftbQ=")</f>
        <v>#VALUE!</v>
      </c>
      <c r="FZ21" t="e">
        <f>AND(ConsolidatedEventList!B3,"AAAAAHfftbU=")</f>
        <v>#VALUE!</v>
      </c>
      <c r="GA21" t="e">
        <f>AND(ConsolidatedEventList!C3,"AAAAAHfftbY=")</f>
        <v>#VALUE!</v>
      </c>
      <c r="GB21" t="e">
        <f>AND(ConsolidatedEventList!D3,"AAAAAHfftbc=")</f>
        <v>#VALUE!</v>
      </c>
      <c r="GC21" t="e">
        <f>AND(ConsolidatedEventList!E3,"AAAAAHfftbg=")</f>
        <v>#VALUE!</v>
      </c>
      <c r="GD21" t="e">
        <f>AND(ConsolidatedEventList!F3,"AAAAAHfftbk=")</f>
        <v>#VALUE!</v>
      </c>
      <c r="GE21" t="e">
        <f>AND(ConsolidatedEventList!G3,"AAAAAHfftbo=")</f>
        <v>#VALUE!</v>
      </c>
      <c r="GF21" t="e">
        <f>AND(ConsolidatedEventList!H3,"AAAAAHfftbs=")</f>
        <v>#VALUE!</v>
      </c>
      <c r="GG21" t="e">
        <f>AND(ConsolidatedEventList!#REF!,"AAAAAHfftbw=")</f>
        <v>#REF!</v>
      </c>
      <c r="GH21">
        <f>IF(ConsolidatedEventList!6:6,"AAAAAHfftb0=",0)</f>
        <v>0</v>
      </c>
      <c r="GI21" t="b">
        <f>AND(ConsolidatedEventList!A6,"AAAAAHfftb4=")</f>
        <v>0</v>
      </c>
      <c r="GJ21" t="b">
        <f>AND(ConsolidatedEventList!B6,"AAAAAHfftb8=")</f>
        <v>1</v>
      </c>
      <c r="GK21" t="e">
        <f>AND(ConsolidatedEventList!C6,"AAAAAHfftcA=")</f>
        <v>#VALUE!</v>
      </c>
      <c r="GL21" t="e">
        <f>AND(ConsolidatedEventList!D6,"AAAAAHfftcE=")</f>
        <v>#VALUE!</v>
      </c>
      <c r="GM21" t="b">
        <f>AND(ConsolidatedEventList!E6,"AAAAAHfftcI=")</f>
        <v>0</v>
      </c>
      <c r="GN21" t="e">
        <f>AND(ConsolidatedEventList!F6,"AAAAAHfftcM=")</f>
        <v>#VALUE!</v>
      </c>
      <c r="GO21" t="e">
        <f>AND(ConsolidatedEventList!G6,"AAAAAHfftcQ=")</f>
        <v>#VALUE!</v>
      </c>
      <c r="GP21" t="e">
        <f>AND(ConsolidatedEventList!H6,"AAAAAHfftcU=")</f>
        <v>#VALUE!</v>
      </c>
      <c r="GQ21" t="e">
        <f>AND(ConsolidatedEventList!#REF!,"AAAAAHfftcY=")</f>
        <v>#REF!</v>
      </c>
      <c r="GR21">
        <f>IF(ConsolidatedEventList!7:7,"AAAAAHfftcc=",0)</f>
        <v>0</v>
      </c>
      <c r="GS21" t="b">
        <f>AND(ConsolidatedEventList!A7,"AAAAAHfftcg=")</f>
        <v>0</v>
      </c>
      <c r="GT21" t="b">
        <f>AND(ConsolidatedEventList!B7,"AAAAAHfftck=")</f>
        <v>1</v>
      </c>
      <c r="GU21" t="e">
        <f>AND(ConsolidatedEventList!C7,"AAAAAHfftco=")</f>
        <v>#VALUE!</v>
      </c>
      <c r="GV21" t="e">
        <f>AND(ConsolidatedEventList!D7,"AAAAAHfftcs=")</f>
        <v>#VALUE!</v>
      </c>
      <c r="GW21" t="b">
        <f>AND(ConsolidatedEventList!E7,"AAAAAHfftcw=")</f>
        <v>0</v>
      </c>
      <c r="GX21" t="e">
        <f>AND(ConsolidatedEventList!F7,"AAAAAHfftc0=")</f>
        <v>#VALUE!</v>
      </c>
      <c r="GY21" t="e">
        <f>AND(ConsolidatedEventList!G7,"AAAAAHfftc4=")</f>
        <v>#VALUE!</v>
      </c>
      <c r="GZ21" t="e">
        <f>AND(ConsolidatedEventList!H7,"AAAAAHfftc8=")</f>
        <v>#VALUE!</v>
      </c>
      <c r="HA21" t="e">
        <f>AND(ConsolidatedEventList!#REF!,"AAAAAHfftdA=")</f>
        <v>#REF!</v>
      </c>
      <c r="HB21">
        <f>IF(ConsolidatedEventList!8:8,"AAAAAHfftdE=",0)</f>
        <v>0</v>
      </c>
      <c r="HC21" t="b">
        <f>AND(ConsolidatedEventList!A8,"AAAAAHfftdI=")</f>
        <v>0</v>
      </c>
      <c r="HD21" t="b">
        <f>AND(ConsolidatedEventList!B8,"AAAAAHfftdM=")</f>
        <v>1</v>
      </c>
      <c r="HE21" t="e">
        <f>AND(ConsolidatedEventList!C8,"AAAAAHfftdQ=")</f>
        <v>#VALUE!</v>
      </c>
      <c r="HF21" t="e">
        <f>AND(ConsolidatedEventList!D8,"AAAAAHfftdU=")</f>
        <v>#VALUE!</v>
      </c>
      <c r="HG21" t="b">
        <f>AND(ConsolidatedEventList!E8,"AAAAAHfftdY=")</f>
        <v>0</v>
      </c>
      <c r="HH21" t="e">
        <f>AND(ConsolidatedEventList!F8,"AAAAAHfftdc=")</f>
        <v>#VALUE!</v>
      </c>
      <c r="HI21" t="e">
        <f>AND(ConsolidatedEventList!G8,"AAAAAHfftdg=")</f>
        <v>#VALUE!</v>
      </c>
      <c r="HJ21" t="e">
        <f>AND(ConsolidatedEventList!H8,"AAAAAHfftdk=")</f>
        <v>#VALUE!</v>
      </c>
      <c r="HK21" t="e">
        <f>AND(ConsolidatedEventList!#REF!,"AAAAAHfftdo=")</f>
        <v>#REF!</v>
      </c>
      <c r="HL21">
        <f>IF(ConsolidatedEventList!9:9,"AAAAAHfftds=",0)</f>
        <v>0</v>
      </c>
      <c r="HM21" t="b">
        <f>AND(ConsolidatedEventList!A9,"AAAAAHfftdw=")</f>
        <v>0</v>
      </c>
      <c r="HN21" t="b">
        <f>AND(ConsolidatedEventList!B9,"AAAAAHfftd0=")</f>
        <v>1</v>
      </c>
      <c r="HO21" t="e">
        <f>AND(ConsolidatedEventList!C9,"AAAAAHfftd4=")</f>
        <v>#VALUE!</v>
      </c>
      <c r="HP21" t="e">
        <f>AND(ConsolidatedEventList!D9,"AAAAAHfftd8=")</f>
        <v>#VALUE!</v>
      </c>
      <c r="HQ21" t="b">
        <f>AND(ConsolidatedEventList!E9,"AAAAAHffteA=")</f>
        <v>0</v>
      </c>
      <c r="HR21" t="e">
        <f>AND(ConsolidatedEventList!F9,"AAAAAHffteE=")</f>
        <v>#VALUE!</v>
      </c>
      <c r="HS21" t="e">
        <f>AND(ConsolidatedEventList!G9,"AAAAAHffteI=")</f>
        <v>#VALUE!</v>
      </c>
      <c r="HT21" t="e">
        <f>AND(ConsolidatedEventList!H9,"AAAAAHffteM=")</f>
        <v>#VALUE!</v>
      </c>
      <c r="HU21" t="e">
        <f>AND(ConsolidatedEventList!#REF!,"AAAAAHffteQ=")</f>
        <v>#REF!</v>
      </c>
      <c r="HV21">
        <f>IF(ConsolidatedEventList!10:10,"AAAAAHffteU=",0)</f>
        <v>0</v>
      </c>
      <c r="HW21" t="b">
        <f>AND(ConsolidatedEventList!A10,"AAAAAHffteY=")</f>
        <v>0</v>
      </c>
      <c r="HX21" t="b">
        <f>AND(ConsolidatedEventList!B10,"AAAAAHfftec=")</f>
        <v>1</v>
      </c>
      <c r="HY21" t="e">
        <f>AND(ConsolidatedEventList!C10,"AAAAAHffteg=")</f>
        <v>#VALUE!</v>
      </c>
      <c r="HZ21" t="e">
        <f>AND(ConsolidatedEventList!D10,"AAAAAHfftek=")</f>
        <v>#VALUE!</v>
      </c>
      <c r="IA21" t="b">
        <f>AND(ConsolidatedEventList!E10,"AAAAAHffteo=")</f>
        <v>0</v>
      </c>
      <c r="IB21" t="e">
        <f>AND(ConsolidatedEventList!F10,"AAAAAHfftes=")</f>
        <v>#VALUE!</v>
      </c>
      <c r="IC21" t="e">
        <f>AND(ConsolidatedEventList!G10,"AAAAAHfftew=")</f>
        <v>#VALUE!</v>
      </c>
      <c r="ID21" t="e">
        <f>AND(ConsolidatedEventList!H10,"AAAAAHffte0=")</f>
        <v>#VALUE!</v>
      </c>
      <c r="IE21" t="e">
        <f>AND(ConsolidatedEventList!#REF!,"AAAAAHffte4=")</f>
        <v>#REF!</v>
      </c>
      <c r="IF21">
        <f>IF(ConsolidatedEventList!11:11,"AAAAAHffte8=",0)</f>
        <v>0</v>
      </c>
      <c r="IG21" t="b">
        <f>AND(ConsolidatedEventList!A11,"AAAAAHfftfA=")</f>
        <v>0</v>
      </c>
      <c r="IH21" t="b">
        <f>AND(ConsolidatedEventList!B11,"AAAAAHfftfE=")</f>
        <v>1</v>
      </c>
      <c r="II21" t="e">
        <f>AND(ConsolidatedEventList!C11,"AAAAAHfftfI=")</f>
        <v>#VALUE!</v>
      </c>
      <c r="IJ21" t="e">
        <f>AND(ConsolidatedEventList!D11,"AAAAAHfftfM=")</f>
        <v>#VALUE!</v>
      </c>
      <c r="IK21" t="b">
        <f>AND(ConsolidatedEventList!E11,"AAAAAHfftfQ=")</f>
        <v>0</v>
      </c>
      <c r="IL21" t="e">
        <f>AND(ConsolidatedEventList!F11,"AAAAAHfftfU=")</f>
        <v>#VALUE!</v>
      </c>
      <c r="IM21" t="e">
        <f>AND(ConsolidatedEventList!G11,"AAAAAHfftfY=")</f>
        <v>#VALUE!</v>
      </c>
      <c r="IN21" t="e">
        <f>AND(ConsolidatedEventList!H11,"AAAAAHfftfc=")</f>
        <v>#VALUE!</v>
      </c>
      <c r="IO21" t="e">
        <f>AND(ConsolidatedEventList!#REF!,"AAAAAHfftfg=")</f>
        <v>#REF!</v>
      </c>
      <c r="IP21">
        <f>IF(ConsolidatedEventList!12:12,"AAAAAHfftfk=",0)</f>
        <v>0</v>
      </c>
      <c r="IQ21" t="b">
        <f>AND(ConsolidatedEventList!A12,"AAAAAHfftfo=")</f>
        <v>0</v>
      </c>
      <c r="IR21" t="b">
        <f>AND(ConsolidatedEventList!B12,"AAAAAHfftfs=")</f>
        <v>1</v>
      </c>
      <c r="IS21" t="e">
        <f>AND(ConsolidatedEventList!C12,"AAAAAHfftfw=")</f>
        <v>#VALUE!</v>
      </c>
      <c r="IT21" t="e">
        <f>AND(ConsolidatedEventList!D12,"AAAAAHfftf0=")</f>
        <v>#VALUE!</v>
      </c>
      <c r="IU21" t="b">
        <f>AND(ConsolidatedEventList!E12,"AAAAAHfftf4=")</f>
        <v>0</v>
      </c>
      <c r="IV21" t="e">
        <f>AND(ConsolidatedEventList!F12,"AAAAAHfftf8=")</f>
        <v>#VALUE!</v>
      </c>
    </row>
    <row r="22" spans="1:256" x14ac:dyDescent="0.25">
      <c r="A22" t="e">
        <f>AND(ConsolidatedEventList!G12,"AAAAAGrSvQA=")</f>
        <v>#VALUE!</v>
      </c>
      <c r="B22" t="e">
        <f>AND(ConsolidatedEventList!H12,"AAAAAGrSvQE=")</f>
        <v>#VALUE!</v>
      </c>
      <c r="C22" t="e">
        <f>AND(ConsolidatedEventList!#REF!,"AAAAAGrSvQI=")</f>
        <v>#REF!</v>
      </c>
      <c r="D22" t="e">
        <f>IF(ConsolidatedEventList!13:13,"AAAAAGrSvQM=",0)</f>
        <v>#VALUE!</v>
      </c>
      <c r="E22" t="b">
        <f>AND(ConsolidatedEventList!A13,"AAAAAGrSvQQ=")</f>
        <v>0</v>
      </c>
      <c r="F22" t="b">
        <f>AND(ConsolidatedEventList!B13,"AAAAAGrSvQU=")</f>
        <v>1</v>
      </c>
      <c r="G22" t="e">
        <f>AND(ConsolidatedEventList!C13,"AAAAAGrSvQY=")</f>
        <v>#VALUE!</v>
      </c>
      <c r="H22" t="e">
        <f>AND(ConsolidatedEventList!D13,"AAAAAGrSvQc=")</f>
        <v>#VALUE!</v>
      </c>
      <c r="I22" t="b">
        <f>AND(ConsolidatedEventList!E13,"AAAAAGrSvQg=")</f>
        <v>0</v>
      </c>
      <c r="J22" t="e">
        <f>AND(ConsolidatedEventList!F13,"AAAAAGrSvQk=")</f>
        <v>#VALUE!</v>
      </c>
      <c r="K22" t="e">
        <f>AND(ConsolidatedEventList!G13,"AAAAAGrSvQo=")</f>
        <v>#VALUE!</v>
      </c>
      <c r="L22" t="e">
        <f>AND(ConsolidatedEventList!H13,"AAAAAGrSvQs=")</f>
        <v>#VALUE!</v>
      </c>
      <c r="M22" t="e">
        <f>AND(ConsolidatedEventList!#REF!,"AAAAAGrSvQw=")</f>
        <v>#REF!</v>
      </c>
      <c r="N22" t="e">
        <f>IF(ConsolidatedEventList!#REF!,"AAAAAGrSvQ0=",0)</f>
        <v>#REF!</v>
      </c>
      <c r="O22" t="e">
        <f>AND(ConsolidatedEventList!#REF!,"AAAAAGrSvQ4=")</f>
        <v>#REF!</v>
      </c>
      <c r="P22" t="e">
        <f>AND(ConsolidatedEventList!#REF!,"AAAAAGrSvQ8=")</f>
        <v>#REF!</v>
      </c>
      <c r="Q22" t="e">
        <f>AND(ConsolidatedEventList!#REF!,"AAAAAGrSvRA=")</f>
        <v>#REF!</v>
      </c>
      <c r="R22" t="e">
        <f>AND(ConsolidatedEventList!#REF!,"AAAAAGrSvRE=")</f>
        <v>#REF!</v>
      </c>
      <c r="S22" t="e">
        <f>AND(ConsolidatedEventList!#REF!,"AAAAAGrSvRI=")</f>
        <v>#REF!</v>
      </c>
      <c r="T22" t="e">
        <f>AND(ConsolidatedEventList!#REF!,"AAAAAGrSvRM=")</f>
        <v>#REF!</v>
      </c>
      <c r="U22" t="e">
        <f>AND(ConsolidatedEventList!#REF!,"AAAAAGrSvRQ=")</f>
        <v>#REF!</v>
      </c>
      <c r="V22" t="e">
        <f>AND(ConsolidatedEventList!#REF!,"AAAAAGrSvRU=")</f>
        <v>#REF!</v>
      </c>
      <c r="W22" t="e">
        <f>AND(ConsolidatedEventList!#REF!,"AAAAAGrSvRY=")</f>
        <v>#REF!</v>
      </c>
      <c r="X22" t="e">
        <f>IF(ConsolidatedEventList!#REF!,"AAAAAGrSvRc=",0)</f>
        <v>#REF!</v>
      </c>
      <c r="Y22" t="e">
        <f>AND(ConsolidatedEventList!#REF!,"AAAAAGrSvRg=")</f>
        <v>#REF!</v>
      </c>
      <c r="Z22" t="e">
        <f>AND(ConsolidatedEventList!#REF!,"AAAAAGrSvRk=")</f>
        <v>#REF!</v>
      </c>
      <c r="AA22" t="e">
        <f>AND(ConsolidatedEventList!#REF!,"AAAAAGrSvRo=")</f>
        <v>#REF!</v>
      </c>
      <c r="AB22" t="e">
        <f>AND(ConsolidatedEventList!#REF!,"AAAAAGrSvRs=")</f>
        <v>#REF!</v>
      </c>
      <c r="AC22" t="e">
        <f>AND(ConsolidatedEventList!#REF!,"AAAAAGrSvRw=")</f>
        <v>#REF!</v>
      </c>
      <c r="AD22" t="e">
        <f>AND(ConsolidatedEventList!#REF!,"AAAAAGrSvR0=")</f>
        <v>#REF!</v>
      </c>
      <c r="AE22" t="e">
        <f>AND(ConsolidatedEventList!#REF!,"AAAAAGrSvR4=")</f>
        <v>#REF!</v>
      </c>
      <c r="AF22" t="e">
        <f>AND(ConsolidatedEventList!#REF!,"AAAAAGrSvR8=")</f>
        <v>#REF!</v>
      </c>
      <c r="AG22" t="e">
        <f>AND(ConsolidatedEventList!#REF!,"AAAAAGrSvSA=")</f>
        <v>#REF!</v>
      </c>
      <c r="AH22">
        <f>IF(ConsolidatedEventList!22:22,"AAAAAGrSvSE=",0)</f>
        <v>0</v>
      </c>
      <c r="AI22" t="b">
        <f>AND(ConsolidatedEventList!A22,"AAAAAGrSvSI=")</f>
        <v>0</v>
      </c>
      <c r="AJ22" t="b">
        <f>AND(ConsolidatedEventList!B22,"AAAAAGrSvSM=")</f>
        <v>1</v>
      </c>
      <c r="AK22" t="e">
        <f>AND(ConsolidatedEventList!C22,"AAAAAGrSvSQ=")</f>
        <v>#VALUE!</v>
      </c>
      <c r="AL22" t="e">
        <f>AND(ConsolidatedEventList!D22,"AAAAAGrSvSU=")</f>
        <v>#VALUE!</v>
      </c>
      <c r="AM22" t="b">
        <f>AND(ConsolidatedEventList!E22,"AAAAAGrSvSY=")</f>
        <v>0</v>
      </c>
      <c r="AN22" t="e">
        <f>AND(ConsolidatedEventList!F22,"AAAAAGrSvSc=")</f>
        <v>#VALUE!</v>
      </c>
      <c r="AO22" t="e">
        <f>AND(ConsolidatedEventList!G22,"AAAAAGrSvSg=")</f>
        <v>#VALUE!</v>
      </c>
      <c r="AP22" t="e">
        <f>AND(ConsolidatedEventList!H22,"AAAAAGrSvSk=")</f>
        <v>#VALUE!</v>
      </c>
      <c r="AQ22" t="e">
        <f>AND(ConsolidatedEventList!#REF!,"AAAAAGrSvSo=")</f>
        <v>#REF!</v>
      </c>
      <c r="AR22">
        <f>IF(ConsolidatedEventList!23:23,"AAAAAGrSvSs=",0)</f>
        <v>0</v>
      </c>
      <c r="AS22" t="b">
        <f>AND(ConsolidatedEventList!A23,"AAAAAGrSvSw=")</f>
        <v>0</v>
      </c>
      <c r="AT22" t="b">
        <f>AND(ConsolidatedEventList!B23,"AAAAAGrSvS0=")</f>
        <v>1</v>
      </c>
      <c r="AU22" t="e">
        <f>AND(ConsolidatedEventList!C23,"AAAAAGrSvS4=")</f>
        <v>#VALUE!</v>
      </c>
      <c r="AV22" t="e">
        <f>AND(ConsolidatedEventList!D23,"AAAAAGrSvS8=")</f>
        <v>#VALUE!</v>
      </c>
      <c r="AW22" t="b">
        <f>AND(ConsolidatedEventList!E23,"AAAAAGrSvTA=")</f>
        <v>0</v>
      </c>
      <c r="AX22" t="e">
        <f>AND(ConsolidatedEventList!F23,"AAAAAGrSvTE=")</f>
        <v>#VALUE!</v>
      </c>
      <c r="AY22" t="e">
        <f>AND(ConsolidatedEventList!G23,"AAAAAGrSvTI=")</f>
        <v>#VALUE!</v>
      </c>
      <c r="AZ22" t="e">
        <f>AND(ConsolidatedEventList!H23,"AAAAAGrSvTM=")</f>
        <v>#VALUE!</v>
      </c>
      <c r="BA22" t="e">
        <f>AND(ConsolidatedEventList!#REF!,"AAAAAGrSvTQ=")</f>
        <v>#REF!</v>
      </c>
      <c r="BB22">
        <f>IF(ConsolidatedEventList!24:24,"AAAAAGrSvTU=",0)</f>
        <v>0</v>
      </c>
      <c r="BC22" t="b">
        <f>AND(ConsolidatedEventList!A24,"AAAAAGrSvTY=")</f>
        <v>0</v>
      </c>
      <c r="BD22" t="b">
        <f>AND(ConsolidatedEventList!B24,"AAAAAGrSvTc=")</f>
        <v>1</v>
      </c>
      <c r="BE22" t="e">
        <f>AND(ConsolidatedEventList!C24,"AAAAAGrSvTg=")</f>
        <v>#VALUE!</v>
      </c>
      <c r="BF22" t="e">
        <f>AND(ConsolidatedEventList!D24,"AAAAAGrSvTk=")</f>
        <v>#VALUE!</v>
      </c>
      <c r="BG22" t="b">
        <f>AND(ConsolidatedEventList!E24,"AAAAAGrSvTo=")</f>
        <v>0</v>
      </c>
      <c r="BH22" t="e">
        <f>AND(ConsolidatedEventList!F24,"AAAAAGrSvTs=")</f>
        <v>#VALUE!</v>
      </c>
      <c r="BI22" t="e">
        <f>AND(ConsolidatedEventList!G24,"AAAAAGrSvTw=")</f>
        <v>#VALUE!</v>
      </c>
      <c r="BJ22" t="e">
        <f>AND(ConsolidatedEventList!H24,"AAAAAGrSvT0=")</f>
        <v>#VALUE!</v>
      </c>
      <c r="BK22" t="e">
        <f>AND(ConsolidatedEventList!#REF!,"AAAAAGrSvT4=")</f>
        <v>#REF!</v>
      </c>
      <c r="BL22">
        <f>IF(ConsolidatedEventList!25:25,"AAAAAGrSvT8=",0)</f>
        <v>0</v>
      </c>
      <c r="BM22" t="b">
        <f>AND(ConsolidatedEventList!A25,"AAAAAGrSvUA=")</f>
        <v>0</v>
      </c>
      <c r="BN22" t="b">
        <f>AND(ConsolidatedEventList!B25,"AAAAAGrSvUE=")</f>
        <v>1</v>
      </c>
      <c r="BO22" t="e">
        <f>AND(ConsolidatedEventList!C25,"AAAAAGrSvUI=")</f>
        <v>#VALUE!</v>
      </c>
      <c r="BP22" t="e">
        <f>AND(ConsolidatedEventList!D25,"AAAAAGrSvUM=")</f>
        <v>#VALUE!</v>
      </c>
      <c r="BQ22" t="b">
        <f>AND(ConsolidatedEventList!E25,"AAAAAGrSvUQ=")</f>
        <v>0</v>
      </c>
      <c r="BR22" t="e">
        <f>AND(ConsolidatedEventList!F25,"AAAAAGrSvUU=")</f>
        <v>#VALUE!</v>
      </c>
      <c r="BS22" t="e">
        <f>AND(ConsolidatedEventList!G25,"AAAAAGrSvUY=")</f>
        <v>#VALUE!</v>
      </c>
      <c r="BT22" t="e">
        <f>AND(ConsolidatedEventList!H25,"AAAAAGrSvUc=")</f>
        <v>#VALUE!</v>
      </c>
      <c r="BU22" t="e">
        <f>AND(ConsolidatedEventList!#REF!,"AAAAAGrSvUg=")</f>
        <v>#REF!</v>
      </c>
      <c r="BV22">
        <f>IF(ConsolidatedEventList!26:26,"AAAAAGrSvUk=",0)</f>
        <v>0</v>
      </c>
      <c r="BW22" t="b">
        <f>AND(ConsolidatedEventList!A26,"AAAAAGrSvUo=")</f>
        <v>0</v>
      </c>
      <c r="BX22" t="b">
        <f>AND(ConsolidatedEventList!B26,"AAAAAGrSvUs=")</f>
        <v>1</v>
      </c>
      <c r="BY22" t="e">
        <f>AND(ConsolidatedEventList!C26,"AAAAAGrSvUw=")</f>
        <v>#VALUE!</v>
      </c>
      <c r="BZ22" t="e">
        <f>AND(ConsolidatedEventList!D26,"AAAAAGrSvU0=")</f>
        <v>#VALUE!</v>
      </c>
      <c r="CA22" t="b">
        <f>AND(ConsolidatedEventList!E26,"AAAAAGrSvU4=")</f>
        <v>0</v>
      </c>
      <c r="CB22" t="e">
        <f>AND(ConsolidatedEventList!F26,"AAAAAGrSvU8=")</f>
        <v>#VALUE!</v>
      </c>
      <c r="CC22" t="e">
        <f>AND(ConsolidatedEventList!G26,"AAAAAGrSvVA=")</f>
        <v>#VALUE!</v>
      </c>
      <c r="CD22" t="e">
        <f>AND(ConsolidatedEventList!H26,"AAAAAGrSvVE=")</f>
        <v>#VALUE!</v>
      </c>
      <c r="CE22" t="e">
        <f>AND(ConsolidatedEventList!#REF!,"AAAAAGrSvVI=")</f>
        <v>#REF!</v>
      </c>
      <c r="CF22">
        <f>IF(ConsolidatedEventList!27:27,"AAAAAGrSvVM=",0)</f>
        <v>0</v>
      </c>
      <c r="CG22" t="b">
        <f>AND(ConsolidatedEventList!A27,"AAAAAGrSvVQ=")</f>
        <v>0</v>
      </c>
      <c r="CH22" t="b">
        <f>AND(ConsolidatedEventList!B27,"AAAAAGrSvVU=")</f>
        <v>1</v>
      </c>
      <c r="CI22" t="e">
        <f>AND(ConsolidatedEventList!C27,"AAAAAGrSvVY=")</f>
        <v>#VALUE!</v>
      </c>
      <c r="CJ22" t="e">
        <f>AND(ConsolidatedEventList!D27,"AAAAAGrSvVc=")</f>
        <v>#VALUE!</v>
      </c>
      <c r="CK22" t="b">
        <f>AND(ConsolidatedEventList!E27,"AAAAAGrSvVg=")</f>
        <v>0</v>
      </c>
      <c r="CL22" t="e">
        <f>AND(ConsolidatedEventList!F27,"AAAAAGrSvVk=")</f>
        <v>#VALUE!</v>
      </c>
      <c r="CM22" t="e">
        <f>AND(ConsolidatedEventList!G27,"AAAAAGrSvVo=")</f>
        <v>#VALUE!</v>
      </c>
      <c r="CN22" t="e">
        <f>AND(ConsolidatedEventList!H27,"AAAAAGrSvVs=")</f>
        <v>#VALUE!</v>
      </c>
      <c r="CO22" t="e">
        <f>AND(ConsolidatedEventList!#REF!,"AAAAAGrSvVw=")</f>
        <v>#REF!</v>
      </c>
      <c r="CP22">
        <f>IF(ConsolidatedEventList!28:28,"AAAAAGrSvV0=",0)</f>
        <v>0</v>
      </c>
      <c r="CQ22" t="b">
        <f>AND(ConsolidatedEventList!A28,"AAAAAGrSvV4=")</f>
        <v>0</v>
      </c>
      <c r="CR22" t="b">
        <f>AND(ConsolidatedEventList!B28,"AAAAAGrSvV8=")</f>
        <v>1</v>
      </c>
      <c r="CS22" t="e">
        <f>AND(ConsolidatedEventList!C28,"AAAAAGrSvWA=")</f>
        <v>#VALUE!</v>
      </c>
      <c r="CT22" t="e">
        <f>AND(ConsolidatedEventList!D28,"AAAAAGrSvWE=")</f>
        <v>#VALUE!</v>
      </c>
      <c r="CU22" t="b">
        <f>AND(ConsolidatedEventList!E28,"AAAAAGrSvWI=")</f>
        <v>0</v>
      </c>
      <c r="CV22" t="e">
        <f>AND(ConsolidatedEventList!F28,"AAAAAGrSvWM=")</f>
        <v>#VALUE!</v>
      </c>
      <c r="CW22" t="e">
        <f>AND(ConsolidatedEventList!G28,"AAAAAGrSvWQ=")</f>
        <v>#VALUE!</v>
      </c>
      <c r="CX22" t="e">
        <f>AND(ConsolidatedEventList!H28,"AAAAAGrSvWU=")</f>
        <v>#VALUE!</v>
      </c>
      <c r="CY22" t="e">
        <f>AND(ConsolidatedEventList!#REF!,"AAAAAGrSvWY=")</f>
        <v>#REF!</v>
      </c>
      <c r="CZ22">
        <f>IF(ConsolidatedEventList!29:29,"AAAAAGrSvWc=",0)</f>
        <v>0</v>
      </c>
      <c r="DA22" t="b">
        <f>AND(ConsolidatedEventList!A29,"AAAAAGrSvWg=")</f>
        <v>0</v>
      </c>
      <c r="DB22" t="b">
        <f>AND(ConsolidatedEventList!B29,"AAAAAGrSvWk=")</f>
        <v>1</v>
      </c>
      <c r="DC22" t="e">
        <f>AND(ConsolidatedEventList!C29,"AAAAAGrSvWo=")</f>
        <v>#VALUE!</v>
      </c>
      <c r="DD22" t="e">
        <f>AND(ConsolidatedEventList!D29,"AAAAAGrSvWs=")</f>
        <v>#VALUE!</v>
      </c>
      <c r="DE22" t="b">
        <f>AND(ConsolidatedEventList!E29,"AAAAAGrSvWw=")</f>
        <v>0</v>
      </c>
      <c r="DF22" t="e">
        <f>AND(ConsolidatedEventList!F29,"AAAAAGrSvW0=")</f>
        <v>#VALUE!</v>
      </c>
      <c r="DG22" t="e">
        <f>AND(ConsolidatedEventList!G29,"AAAAAGrSvW4=")</f>
        <v>#VALUE!</v>
      </c>
      <c r="DH22" t="e">
        <f>AND(ConsolidatedEventList!H29,"AAAAAGrSvW8=")</f>
        <v>#VALUE!</v>
      </c>
      <c r="DI22" t="e">
        <f>AND(ConsolidatedEventList!#REF!,"AAAAAGrSvXA=")</f>
        <v>#REF!</v>
      </c>
      <c r="DJ22" t="e">
        <f>IF(ConsolidatedEventList!#REF!,"AAAAAGrSvXE=",0)</f>
        <v>#REF!</v>
      </c>
      <c r="DK22" t="e">
        <f>AND(ConsolidatedEventList!#REF!,"AAAAAGrSvXI=")</f>
        <v>#REF!</v>
      </c>
      <c r="DL22" t="e">
        <f>AND(ConsolidatedEventList!#REF!,"AAAAAGrSvXM=")</f>
        <v>#REF!</v>
      </c>
      <c r="DM22" t="e">
        <f>AND(ConsolidatedEventList!#REF!,"AAAAAGrSvXQ=")</f>
        <v>#REF!</v>
      </c>
      <c r="DN22" t="e">
        <f>AND(ConsolidatedEventList!#REF!,"AAAAAGrSvXU=")</f>
        <v>#REF!</v>
      </c>
      <c r="DO22" t="e">
        <f>AND(ConsolidatedEventList!#REF!,"AAAAAGrSvXY=")</f>
        <v>#REF!</v>
      </c>
      <c r="DP22" t="e">
        <f>AND(ConsolidatedEventList!#REF!,"AAAAAGrSvXc=")</f>
        <v>#REF!</v>
      </c>
      <c r="DQ22" t="e">
        <f>AND(ConsolidatedEventList!#REF!,"AAAAAGrSvXg=")</f>
        <v>#REF!</v>
      </c>
      <c r="DR22" t="e">
        <f>AND(ConsolidatedEventList!#REF!,"AAAAAGrSvXk=")</f>
        <v>#REF!</v>
      </c>
      <c r="DS22" t="e">
        <f>AND(ConsolidatedEventList!#REF!,"AAAAAGrSvXo=")</f>
        <v>#REF!</v>
      </c>
      <c r="DT22" t="e">
        <f>IF(ConsolidatedEventList!#REF!,"AAAAAGrSvXs=",0)</f>
        <v>#REF!</v>
      </c>
      <c r="DU22" t="e">
        <f>AND(ConsolidatedEventList!#REF!,"AAAAAGrSvXw=")</f>
        <v>#REF!</v>
      </c>
      <c r="DV22" t="e">
        <f>AND(ConsolidatedEventList!#REF!,"AAAAAGrSvX0=")</f>
        <v>#REF!</v>
      </c>
      <c r="DW22" t="e">
        <f>AND(ConsolidatedEventList!#REF!,"AAAAAGrSvX4=")</f>
        <v>#REF!</v>
      </c>
      <c r="DX22" t="e">
        <f>AND(ConsolidatedEventList!#REF!,"AAAAAGrSvX8=")</f>
        <v>#REF!</v>
      </c>
      <c r="DY22" t="e">
        <f>AND(ConsolidatedEventList!#REF!,"AAAAAGrSvYA=")</f>
        <v>#REF!</v>
      </c>
      <c r="DZ22" t="e">
        <f>AND(ConsolidatedEventList!#REF!,"AAAAAGrSvYE=")</f>
        <v>#REF!</v>
      </c>
      <c r="EA22" t="e">
        <f>AND(ConsolidatedEventList!#REF!,"AAAAAGrSvYI=")</f>
        <v>#REF!</v>
      </c>
      <c r="EB22" t="e">
        <f>AND(ConsolidatedEventList!#REF!,"AAAAAGrSvYM=")</f>
        <v>#REF!</v>
      </c>
      <c r="EC22" t="e">
        <f>AND(ConsolidatedEventList!#REF!,"AAAAAGrSvYQ=")</f>
        <v>#REF!</v>
      </c>
      <c r="ED22">
        <f>IF(ConsolidatedEventList!38:38,"AAAAAGrSvYU=",0)</f>
        <v>0</v>
      </c>
      <c r="EE22" t="b">
        <f>AND(ConsolidatedEventList!A38,"AAAAAGrSvYY=")</f>
        <v>0</v>
      </c>
      <c r="EF22" t="b">
        <f>AND(ConsolidatedEventList!B38,"AAAAAGrSvYc=")</f>
        <v>1</v>
      </c>
      <c r="EG22" t="e">
        <f>AND(ConsolidatedEventList!C38,"AAAAAGrSvYg=")</f>
        <v>#VALUE!</v>
      </c>
      <c r="EH22" t="e">
        <f>AND(ConsolidatedEventList!D38,"AAAAAGrSvYk=")</f>
        <v>#VALUE!</v>
      </c>
      <c r="EI22" t="b">
        <f>AND(ConsolidatedEventList!E38,"AAAAAGrSvYo=")</f>
        <v>0</v>
      </c>
      <c r="EJ22" t="e">
        <f>AND(ConsolidatedEventList!F38,"AAAAAGrSvYs=")</f>
        <v>#VALUE!</v>
      </c>
      <c r="EK22" t="e">
        <f>AND(ConsolidatedEventList!G38,"AAAAAGrSvYw=")</f>
        <v>#VALUE!</v>
      </c>
      <c r="EL22" t="e">
        <f>AND(ConsolidatedEventList!H38,"AAAAAGrSvY0=")</f>
        <v>#VALUE!</v>
      </c>
      <c r="EM22" t="e">
        <f>AND(ConsolidatedEventList!#REF!,"AAAAAGrSvY4=")</f>
        <v>#REF!</v>
      </c>
      <c r="EN22">
        <f>IF(ConsolidatedEventList!39:39,"AAAAAGrSvY8=",0)</f>
        <v>0</v>
      </c>
      <c r="EO22" t="b">
        <f>AND(ConsolidatedEventList!A39,"AAAAAGrSvZA=")</f>
        <v>0</v>
      </c>
      <c r="EP22" t="b">
        <f>AND(ConsolidatedEventList!B39,"AAAAAGrSvZE=")</f>
        <v>1</v>
      </c>
      <c r="EQ22" t="e">
        <f>AND(ConsolidatedEventList!C39,"AAAAAGrSvZI=")</f>
        <v>#VALUE!</v>
      </c>
      <c r="ER22" t="e">
        <f>AND(ConsolidatedEventList!D39,"AAAAAGrSvZM=")</f>
        <v>#VALUE!</v>
      </c>
      <c r="ES22" t="b">
        <f>AND(ConsolidatedEventList!E39,"AAAAAGrSvZQ=")</f>
        <v>0</v>
      </c>
      <c r="ET22" t="e">
        <f>AND(ConsolidatedEventList!F39,"AAAAAGrSvZU=")</f>
        <v>#VALUE!</v>
      </c>
      <c r="EU22" t="e">
        <f>AND(ConsolidatedEventList!G39,"AAAAAGrSvZY=")</f>
        <v>#VALUE!</v>
      </c>
      <c r="EV22" t="e">
        <f>AND(ConsolidatedEventList!H39,"AAAAAGrSvZc=")</f>
        <v>#VALUE!</v>
      </c>
      <c r="EW22" t="e">
        <f>AND(ConsolidatedEventList!#REF!,"AAAAAGrSvZg=")</f>
        <v>#REF!</v>
      </c>
      <c r="EX22">
        <f>IF(ConsolidatedEventList!40:40,"AAAAAGrSvZk=",0)</f>
        <v>0</v>
      </c>
      <c r="EY22" t="b">
        <f>AND(ConsolidatedEventList!A40,"AAAAAGrSvZo=")</f>
        <v>0</v>
      </c>
      <c r="EZ22" t="b">
        <f>AND(ConsolidatedEventList!B40,"AAAAAGrSvZs=")</f>
        <v>1</v>
      </c>
      <c r="FA22" t="e">
        <f>AND(ConsolidatedEventList!C40,"AAAAAGrSvZw=")</f>
        <v>#VALUE!</v>
      </c>
      <c r="FB22" t="e">
        <f>AND(ConsolidatedEventList!D40,"AAAAAGrSvZ0=")</f>
        <v>#VALUE!</v>
      </c>
      <c r="FC22" t="b">
        <f>AND(ConsolidatedEventList!E40,"AAAAAGrSvZ4=")</f>
        <v>0</v>
      </c>
      <c r="FD22" t="e">
        <f>AND(ConsolidatedEventList!F40,"AAAAAGrSvZ8=")</f>
        <v>#VALUE!</v>
      </c>
      <c r="FE22" t="e">
        <f>AND(ConsolidatedEventList!G40,"AAAAAGrSvaA=")</f>
        <v>#VALUE!</v>
      </c>
      <c r="FF22" t="e">
        <f>AND(ConsolidatedEventList!H40,"AAAAAGrSvaE=")</f>
        <v>#VALUE!</v>
      </c>
      <c r="FG22" t="e">
        <f>AND(ConsolidatedEventList!#REF!,"AAAAAGrSvaI=")</f>
        <v>#REF!</v>
      </c>
      <c r="FH22">
        <f>IF(ConsolidatedEventList!41:41,"AAAAAGrSvaM=",0)</f>
        <v>0</v>
      </c>
      <c r="FI22" t="b">
        <f>AND(ConsolidatedEventList!A41,"AAAAAGrSvaQ=")</f>
        <v>0</v>
      </c>
      <c r="FJ22" t="b">
        <f>AND(ConsolidatedEventList!B41,"AAAAAGrSvaU=")</f>
        <v>1</v>
      </c>
      <c r="FK22" t="e">
        <f>AND(ConsolidatedEventList!C41,"AAAAAGrSvaY=")</f>
        <v>#VALUE!</v>
      </c>
      <c r="FL22" t="e">
        <f>AND(ConsolidatedEventList!D41,"AAAAAGrSvac=")</f>
        <v>#VALUE!</v>
      </c>
      <c r="FM22" t="b">
        <f>AND(ConsolidatedEventList!E41,"AAAAAGrSvag=")</f>
        <v>0</v>
      </c>
      <c r="FN22" t="e">
        <f>AND(ConsolidatedEventList!F41,"AAAAAGrSvak=")</f>
        <v>#VALUE!</v>
      </c>
      <c r="FO22" t="e">
        <f>AND(ConsolidatedEventList!G41,"AAAAAGrSvao=")</f>
        <v>#VALUE!</v>
      </c>
      <c r="FP22" t="e">
        <f>AND(ConsolidatedEventList!H41,"AAAAAGrSvas=")</f>
        <v>#VALUE!</v>
      </c>
      <c r="FQ22" t="e">
        <f>AND(ConsolidatedEventList!#REF!,"AAAAAGrSvaw=")</f>
        <v>#REF!</v>
      </c>
      <c r="FR22">
        <f>IF(ConsolidatedEventList!42:42,"AAAAAGrSva0=",0)</f>
        <v>0</v>
      </c>
      <c r="FS22" t="b">
        <f>AND(ConsolidatedEventList!A42,"AAAAAGrSva4=")</f>
        <v>0</v>
      </c>
      <c r="FT22" t="b">
        <f>AND(ConsolidatedEventList!B42,"AAAAAGrSva8=")</f>
        <v>1</v>
      </c>
      <c r="FU22" t="e">
        <f>AND(ConsolidatedEventList!C42,"AAAAAGrSvbA=")</f>
        <v>#VALUE!</v>
      </c>
      <c r="FV22" t="e">
        <f>AND(ConsolidatedEventList!D42,"AAAAAGrSvbE=")</f>
        <v>#VALUE!</v>
      </c>
      <c r="FW22" t="b">
        <f>AND(ConsolidatedEventList!E42,"AAAAAGrSvbI=")</f>
        <v>0</v>
      </c>
      <c r="FX22" t="e">
        <f>AND(ConsolidatedEventList!F42,"AAAAAGrSvbM=")</f>
        <v>#VALUE!</v>
      </c>
      <c r="FY22" t="e">
        <f>AND(ConsolidatedEventList!G42,"AAAAAGrSvbQ=")</f>
        <v>#VALUE!</v>
      </c>
      <c r="FZ22" t="e">
        <f>AND(ConsolidatedEventList!H42,"AAAAAGrSvbU=")</f>
        <v>#VALUE!</v>
      </c>
      <c r="GA22" t="e">
        <f>AND(ConsolidatedEventList!#REF!,"AAAAAGrSvbY=")</f>
        <v>#REF!</v>
      </c>
      <c r="GB22">
        <f>IF(ConsolidatedEventList!43:43,"AAAAAGrSvbc=",0)</f>
        <v>0</v>
      </c>
      <c r="GC22" t="b">
        <f>AND(ConsolidatedEventList!A43,"AAAAAGrSvbg=")</f>
        <v>0</v>
      </c>
      <c r="GD22" t="b">
        <f>AND(ConsolidatedEventList!B43,"AAAAAGrSvbk=")</f>
        <v>1</v>
      </c>
      <c r="GE22" t="e">
        <f>AND(ConsolidatedEventList!C43,"AAAAAGrSvbo=")</f>
        <v>#VALUE!</v>
      </c>
      <c r="GF22" t="e">
        <f>AND(ConsolidatedEventList!D43,"AAAAAGrSvbs=")</f>
        <v>#VALUE!</v>
      </c>
      <c r="GG22" t="b">
        <f>AND(ConsolidatedEventList!E43,"AAAAAGrSvbw=")</f>
        <v>0</v>
      </c>
      <c r="GH22" t="e">
        <f>AND(ConsolidatedEventList!F43,"AAAAAGrSvb0=")</f>
        <v>#VALUE!</v>
      </c>
      <c r="GI22" t="e">
        <f>AND(ConsolidatedEventList!G43,"AAAAAGrSvb4=")</f>
        <v>#VALUE!</v>
      </c>
      <c r="GJ22" t="e">
        <f>AND(ConsolidatedEventList!H43,"AAAAAGrSvb8=")</f>
        <v>#VALUE!</v>
      </c>
      <c r="GK22" t="e">
        <f>AND(ConsolidatedEventList!#REF!,"AAAAAGrSvcA=")</f>
        <v>#REF!</v>
      </c>
      <c r="GL22">
        <f>IF(ConsolidatedEventList!44:44,"AAAAAGrSvcE=",0)</f>
        <v>0</v>
      </c>
      <c r="GM22" t="b">
        <f>AND(ConsolidatedEventList!A44,"AAAAAGrSvcI=")</f>
        <v>0</v>
      </c>
      <c r="GN22" t="b">
        <f>AND(ConsolidatedEventList!B44,"AAAAAGrSvcM=")</f>
        <v>1</v>
      </c>
      <c r="GO22" t="e">
        <f>AND(ConsolidatedEventList!C44,"AAAAAGrSvcQ=")</f>
        <v>#VALUE!</v>
      </c>
      <c r="GP22" t="e">
        <f>AND(ConsolidatedEventList!D44,"AAAAAGrSvcU=")</f>
        <v>#VALUE!</v>
      </c>
      <c r="GQ22" t="b">
        <f>AND(ConsolidatedEventList!E44,"AAAAAGrSvcY=")</f>
        <v>0</v>
      </c>
      <c r="GR22" t="e">
        <f>AND(ConsolidatedEventList!F44,"AAAAAGrSvcc=")</f>
        <v>#VALUE!</v>
      </c>
      <c r="GS22" t="e">
        <f>AND(ConsolidatedEventList!G44,"AAAAAGrSvcg=")</f>
        <v>#VALUE!</v>
      </c>
      <c r="GT22" t="e">
        <f>AND(ConsolidatedEventList!H44,"AAAAAGrSvck=")</f>
        <v>#VALUE!</v>
      </c>
      <c r="GU22" t="e">
        <f>AND(ConsolidatedEventList!#REF!,"AAAAAGrSvco=")</f>
        <v>#REF!</v>
      </c>
      <c r="GV22">
        <f>IF(ConsolidatedEventList!45:45,"AAAAAGrSvcs=",0)</f>
        <v>0</v>
      </c>
      <c r="GW22" t="b">
        <f>AND(ConsolidatedEventList!A45,"AAAAAGrSvcw=")</f>
        <v>0</v>
      </c>
      <c r="GX22" t="b">
        <f>AND(ConsolidatedEventList!B45,"AAAAAGrSvc0=")</f>
        <v>1</v>
      </c>
      <c r="GY22" t="e">
        <f>AND(ConsolidatedEventList!C45,"AAAAAGrSvc4=")</f>
        <v>#VALUE!</v>
      </c>
      <c r="GZ22" t="e">
        <f>AND(ConsolidatedEventList!D45,"AAAAAGrSvc8=")</f>
        <v>#VALUE!</v>
      </c>
      <c r="HA22" t="b">
        <f>AND(ConsolidatedEventList!E45,"AAAAAGrSvdA=")</f>
        <v>0</v>
      </c>
      <c r="HB22" t="e">
        <f>AND(ConsolidatedEventList!F45,"AAAAAGrSvdE=")</f>
        <v>#VALUE!</v>
      </c>
      <c r="HC22" t="e">
        <f>AND(ConsolidatedEventList!G45,"AAAAAGrSvdI=")</f>
        <v>#VALUE!</v>
      </c>
      <c r="HD22" t="e">
        <f>AND(ConsolidatedEventList!H45,"AAAAAGrSvdM=")</f>
        <v>#VALUE!</v>
      </c>
      <c r="HE22" t="e">
        <f>AND(ConsolidatedEventList!#REF!,"AAAAAGrSvdQ=")</f>
        <v>#REF!</v>
      </c>
      <c r="HF22">
        <f>IF(ConsolidatedEventList!14:14,"AAAAAGrSvdU=",0)</f>
        <v>0</v>
      </c>
      <c r="HG22" t="b">
        <f>AND(ConsolidatedEventList!A14,"AAAAAGrSvdY=")</f>
        <v>0</v>
      </c>
      <c r="HH22" t="b">
        <f>AND(ConsolidatedEventList!B14,"AAAAAGrSvdc=")</f>
        <v>1</v>
      </c>
      <c r="HI22" t="e">
        <f>AND(ConsolidatedEventList!C14,"AAAAAGrSvdg=")</f>
        <v>#VALUE!</v>
      </c>
      <c r="HJ22" t="e">
        <f>AND(ConsolidatedEventList!D14,"AAAAAGrSvdk=")</f>
        <v>#VALUE!</v>
      </c>
      <c r="HK22" t="b">
        <f>AND(ConsolidatedEventList!E14,"AAAAAGrSvdo=")</f>
        <v>0</v>
      </c>
      <c r="HL22" t="e">
        <f>AND(ConsolidatedEventList!F14,"AAAAAGrSvds=")</f>
        <v>#VALUE!</v>
      </c>
      <c r="HM22" t="e">
        <f>AND(ConsolidatedEventList!G14,"AAAAAGrSvdw=")</f>
        <v>#VALUE!</v>
      </c>
      <c r="HN22" t="e">
        <f>AND(ConsolidatedEventList!H14,"AAAAAGrSvd0=")</f>
        <v>#VALUE!</v>
      </c>
      <c r="HO22" t="e">
        <f>AND(ConsolidatedEventList!#REF!,"AAAAAGrSvd4=")</f>
        <v>#REF!</v>
      </c>
      <c r="HP22">
        <f>IF(ConsolidatedEventList!15:15,"AAAAAGrSvd8=",0)</f>
        <v>0</v>
      </c>
      <c r="HQ22" t="b">
        <f>AND(ConsolidatedEventList!A15,"AAAAAGrSveA=")</f>
        <v>0</v>
      </c>
      <c r="HR22" t="b">
        <f>AND(ConsolidatedEventList!B15,"AAAAAGrSveE=")</f>
        <v>1</v>
      </c>
      <c r="HS22" t="e">
        <f>AND(ConsolidatedEventList!C15,"AAAAAGrSveI=")</f>
        <v>#VALUE!</v>
      </c>
      <c r="HT22" t="e">
        <f>AND(ConsolidatedEventList!D15,"AAAAAGrSveM=")</f>
        <v>#VALUE!</v>
      </c>
      <c r="HU22" t="b">
        <f>AND(ConsolidatedEventList!E15,"AAAAAGrSveQ=")</f>
        <v>0</v>
      </c>
      <c r="HV22" t="e">
        <f>AND(ConsolidatedEventList!F15,"AAAAAGrSveU=")</f>
        <v>#VALUE!</v>
      </c>
      <c r="HW22" t="e">
        <f>AND(ConsolidatedEventList!G15,"AAAAAGrSveY=")</f>
        <v>#VALUE!</v>
      </c>
      <c r="HX22" t="e">
        <f>AND(ConsolidatedEventList!H15,"AAAAAGrSvec=")</f>
        <v>#VALUE!</v>
      </c>
      <c r="HY22" t="e">
        <f>AND(ConsolidatedEventList!#REF!,"AAAAAGrSveg=")</f>
        <v>#REF!</v>
      </c>
      <c r="HZ22">
        <f>IF(ConsolidatedEventList!16:16,"AAAAAGrSvek=",0)</f>
        <v>0</v>
      </c>
      <c r="IA22" t="b">
        <f>AND(ConsolidatedEventList!A16,"AAAAAGrSveo=")</f>
        <v>0</v>
      </c>
      <c r="IB22" t="b">
        <f>AND(ConsolidatedEventList!B16,"AAAAAGrSves=")</f>
        <v>1</v>
      </c>
      <c r="IC22" t="e">
        <f>AND(ConsolidatedEventList!C16,"AAAAAGrSvew=")</f>
        <v>#VALUE!</v>
      </c>
      <c r="ID22" t="e">
        <f>AND(ConsolidatedEventList!D16,"AAAAAGrSve0=")</f>
        <v>#VALUE!</v>
      </c>
      <c r="IE22" t="b">
        <f>AND(ConsolidatedEventList!E16,"AAAAAGrSve4=")</f>
        <v>0</v>
      </c>
      <c r="IF22" t="e">
        <f>AND(ConsolidatedEventList!F16,"AAAAAGrSve8=")</f>
        <v>#VALUE!</v>
      </c>
      <c r="IG22" t="e">
        <f>AND(ConsolidatedEventList!G16,"AAAAAGrSvfA=")</f>
        <v>#VALUE!</v>
      </c>
      <c r="IH22" t="e">
        <f>AND(ConsolidatedEventList!H16,"AAAAAGrSvfE=")</f>
        <v>#VALUE!</v>
      </c>
      <c r="II22" t="e">
        <f>AND(ConsolidatedEventList!#REF!,"AAAAAGrSvfI=")</f>
        <v>#REF!</v>
      </c>
      <c r="IJ22">
        <f>IF(ConsolidatedEventList!17:17,"AAAAAGrSvfM=",0)</f>
        <v>0</v>
      </c>
      <c r="IK22" t="b">
        <f>AND(ConsolidatedEventList!A17,"AAAAAGrSvfQ=")</f>
        <v>0</v>
      </c>
      <c r="IL22" t="b">
        <f>AND(ConsolidatedEventList!B17,"AAAAAGrSvfU=")</f>
        <v>1</v>
      </c>
      <c r="IM22" t="e">
        <f>AND(ConsolidatedEventList!C17,"AAAAAGrSvfY=")</f>
        <v>#VALUE!</v>
      </c>
      <c r="IN22" t="e">
        <f>AND(ConsolidatedEventList!D17,"AAAAAGrSvfc=")</f>
        <v>#VALUE!</v>
      </c>
      <c r="IO22" t="b">
        <f>AND(ConsolidatedEventList!E17,"AAAAAGrSvfg=")</f>
        <v>0</v>
      </c>
      <c r="IP22" t="e">
        <f>AND(ConsolidatedEventList!F17,"AAAAAGrSvfk=")</f>
        <v>#VALUE!</v>
      </c>
      <c r="IQ22" t="e">
        <f>AND(ConsolidatedEventList!G17,"AAAAAGrSvfo=")</f>
        <v>#VALUE!</v>
      </c>
      <c r="IR22" t="e">
        <f>AND(ConsolidatedEventList!H17,"AAAAAGrSvfs=")</f>
        <v>#VALUE!</v>
      </c>
      <c r="IS22" t="e">
        <f>AND(ConsolidatedEventList!#REF!,"AAAAAGrSvfw=")</f>
        <v>#REF!</v>
      </c>
      <c r="IT22">
        <f>IF(ConsolidatedEventList!18:18,"AAAAAGrSvf0=",0)</f>
        <v>0</v>
      </c>
      <c r="IU22" t="b">
        <f>AND(ConsolidatedEventList!A18,"AAAAAGrSvf4=")</f>
        <v>0</v>
      </c>
      <c r="IV22" t="b">
        <f>AND(ConsolidatedEventList!B18,"AAAAAGrSvf8=")</f>
        <v>1</v>
      </c>
    </row>
    <row r="23" spans="1:256" x14ac:dyDescent="0.25">
      <c r="A23" t="e">
        <f>AND(ConsolidatedEventList!C18,"AAAAAHU/7QA=")</f>
        <v>#VALUE!</v>
      </c>
      <c r="B23" t="e">
        <f>AND(ConsolidatedEventList!D18,"AAAAAHU/7QE=")</f>
        <v>#VALUE!</v>
      </c>
      <c r="C23" t="b">
        <f>AND(ConsolidatedEventList!E18,"AAAAAHU/7QI=")</f>
        <v>0</v>
      </c>
      <c r="D23" t="e">
        <f>AND(ConsolidatedEventList!F18,"AAAAAHU/7QM=")</f>
        <v>#VALUE!</v>
      </c>
      <c r="E23" t="e">
        <f>AND(ConsolidatedEventList!G18,"AAAAAHU/7QQ=")</f>
        <v>#VALUE!</v>
      </c>
      <c r="F23" t="e">
        <f>AND(ConsolidatedEventList!H18,"AAAAAHU/7QU=")</f>
        <v>#VALUE!</v>
      </c>
      <c r="G23" t="e">
        <f>AND(ConsolidatedEventList!#REF!,"AAAAAHU/7QY=")</f>
        <v>#REF!</v>
      </c>
      <c r="H23">
        <f>IF(ConsolidatedEventList!19:19,"AAAAAHU/7Qc=",0)</f>
        <v>0</v>
      </c>
      <c r="I23" t="b">
        <f>AND(ConsolidatedEventList!A19,"AAAAAHU/7Qg=")</f>
        <v>0</v>
      </c>
      <c r="J23" t="b">
        <f>AND(ConsolidatedEventList!B19,"AAAAAHU/7Qk=")</f>
        <v>1</v>
      </c>
      <c r="K23" t="e">
        <f>AND(ConsolidatedEventList!C19,"AAAAAHU/7Qo=")</f>
        <v>#VALUE!</v>
      </c>
      <c r="L23" t="e">
        <f>AND(ConsolidatedEventList!D19,"AAAAAHU/7Qs=")</f>
        <v>#VALUE!</v>
      </c>
      <c r="M23" t="b">
        <f>AND(ConsolidatedEventList!E19,"AAAAAHU/7Qw=")</f>
        <v>0</v>
      </c>
      <c r="N23" t="e">
        <f>AND(ConsolidatedEventList!F19,"AAAAAHU/7Q0=")</f>
        <v>#VALUE!</v>
      </c>
      <c r="O23" t="e">
        <f>AND(ConsolidatedEventList!G19,"AAAAAHU/7Q4=")</f>
        <v>#VALUE!</v>
      </c>
      <c r="P23" t="e">
        <f>AND(ConsolidatedEventList!H19,"AAAAAHU/7Q8=")</f>
        <v>#VALUE!</v>
      </c>
      <c r="Q23" t="e">
        <f>AND(ConsolidatedEventList!#REF!,"AAAAAHU/7RA=")</f>
        <v>#REF!</v>
      </c>
      <c r="R23">
        <f>IF(ConsolidatedEventList!20:20,"AAAAAHU/7RE=",0)</f>
        <v>0</v>
      </c>
      <c r="S23" t="b">
        <f>AND(ConsolidatedEventList!A20,"AAAAAHU/7RI=")</f>
        <v>0</v>
      </c>
      <c r="T23" t="b">
        <f>AND(ConsolidatedEventList!B20,"AAAAAHU/7RM=")</f>
        <v>1</v>
      </c>
      <c r="U23" t="e">
        <f>AND(ConsolidatedEventList!C20,"AAAAAHU/7RQ=")</f>
        <v>#VALUE!</v>
      </c>
      <c r="V23" t="e">
        <f>AND(ConsolidatedEventList!D20,"AAAAAHU/7RU=")</f>
        <v>#VALUE!</v>
      </c>
      <c r="W23" t="b">
        <f>AND(ConsolidatedEventList!E20,"AAAAAHU/7RY=")</f>
        <v>0</v>
      </c>
      <c r="X23" t="e">
        <f>AND(ConsolidatedEventList!F20,"AAAAAHU/7Rc=")</f>
        <v>#VALUE!</v>
      </c>
      <c r="Y23" t="e">
        <f>AND(ConsolidatedEventList!G20,"AAAAAHU/7Rg=")</f>
        <v>#VALUE!</v>
      </c>
      <c r="Z23" t="e">
        <f>AND(ConsolidatedEventList!H20,"AAAAAHU/7Rk=")</f>
        <v>#VALUE!</v>
      </c>
      <c r="AA23" t="e">
        <f>AND(ConsolidatedEventList!#REF!,"AAAAAHU/7Ro=")</f>
        <v>#REF!</v>
      </c>
      <c r="AB23">
        <f>IF(ConsolidatedEventList!21:21,"AAAAAHU/7Rs=",0)</f>
        <v>0</v>
      </c>
      <c r="AC23" t="b">
        <f>AND(ConsolidatedEventList!A21,"AAAAAHU/7Rw=")</f>
        <v>0</v>
      </c>
      <c r="AD23" t="b">
        <f>AND(ConsolidatedEventList!B21,"AAAAAHU/7R0=")</f>
        <v>1</v>
      </c>
      <c r="AE23" t="e">
        <f>AND(ConsolidatedEventList!C21,"AAAAAHU/7R4=")</f>
        <v>#VALUE!</v>
      </c>
      <c r="AF23" t="e">
        <f>AND(ConsolidatedEventList!D21,"AAAAAHU/7R8=")</f>
        <v>#VALUE!</v>
      </c>
      <c r="AG23" t="b">
        <f>AND(ConsolidatedEventList!E21,"AAAAAHU/7SA=")</f>
        <v>0</v>
      </c>
      <c r="AH23" t="e">
        <f>AND(ConsolidatedEventList!F21,"AAAAAHU/7SE=")</f>
        <v>#VALUE!</v>
      </c>
      <c r="AI23" t="e">
        <f>AND(ConsolidatedEventList!G21,"AAAAAHU/7SI=")</f>
        <v>#VALUE!</v>
      </c>
      <c r="AJ23" t="e">
        <f>AND(ConsolidatedEventList!H21,"AAAAAHU/7SM=")</f>
        <v>#VALUE!</v>
      </c>
      <c r="AK23" t="e">
        <f>AND(ConsolidatedEventList!#REF!,"AAAAAHU/7SQ=")</f>
        <v>#REF!</v>
      </c>
      <c r="AL23" t="e">
        <f>IF(ConsolidatedEventList!#REF!,"AAAAAHU/7SU=",0)</f>
        <v>#REF!</v>
      </c>
      <c r="AM23" t="e">
        <f>AND(ConsolidatedEventList!#REF!,"AAAAAHU/7SY=")</f>
        <v>#REF!</v>
      </c>
      <c r="AN23" t="e">
        <f>AND(ConsolidatedEventList!#REF!,"AAAAAHU/7Sc=")</f>
        <v>#REF!</v>
      </c>
      <c r="AO23" t="e">
        <f>AND(ConsolidatedEventList!#REF!,"AAAAAHU/7Sg=")</f>
        <v>#REF!</v>
      </c>
      <c r="AP23" t="e">
        <f>AND(ConsolidatedEventList!#REF!,"AAAAAHU/7Sk=")</f>
        <v>#REF!</v>
      </c>
      <c r="AQ23" t="e">
        <f>AND(ConsolidatedEventList!#REF!,"AAAAAHU/7So=")</f>
        <v>#REF!</v>
      </c>
      <c r="AR23" t="e">
        <f>AND(ConsolidatedEventList!#REF!,"AAAAAHU/7Ss=")</f>
        <v>#REF!</v>
      </c>
      <c r="AS23" t="e">
        <f>AND(ConsolidatedEventList!#REF!,"AAAAAHU/7Sw=")</f>
        <v>#REF!</v>
      </c>
      <c r="AT23" t="e">
        <f>AND(ConsolidatedEventList!#REF!,"AAAAAHU/7S0=")</f>
        <v>#REF!</v>
      </c>
      <c r="AU23" t="e">
        <f>AND(ConsolidatedEventList!#REF!,"AAAAAHU/7S4=")</f>
        <v>#REF!</v>
      </c>
      <c r="AV23" t="e">
        <f>IF(ConsolidatedEventList!#REF!,"AAAAAHU/7S8=",0)</f>
        <v>#REF!</v>
      </c>
      <c r="AW23" t="e">
        <f>AND(ConsolidatedEventList!#REF!,"AAAAAHU/7TA=")</f>
        <v>#REF!</v>
      </c>
      <c r="AX23" t="e">
        <f>AND(ConsolidatedEventList!#REF!,"AAAAAHU/7TE=")</f>
        <v>#REF!</v>
      </c>
      <c r="AY23" t="e">
        <f>AND(ConsolidatedEventList!#REF!,"AAAAAHU/7TI=")</f>
        <v>#REF!</v>
      </c>
      <c r="AZ23" t="e">
        <f>AND(ConsolidatedEventList!#REF!,"AAAAAHU/7TM=")</f>
        <v>#REF!</v>
      </c>
      <c r="BA23" t="e">
        <f>AND(ConsolidatedEventList!#REF!,"AAAAAHU/7TQ=")</f>
        <v>#REF!</v>
      </c>
      <c r="BB23" t="e">
        <f>AND(ConsolidatedEventList!#REF!,"AAAAAHU/7TU=")</f>
        <v>#REF!</v>
      </c>
      <c r="BC23" t="e">
        <f>AND(ConsolidatedEventList!#REF!,"AAAAAHU/7TY=")</f>
        <v>#REF!</v>
      </c>
      <c r="BD23" t="e">
        <f>AND(ConsolidatedEventList!#REF!,"AAAAAHU/7Tc=")</f>
        <v>#REF!</v>
      </c>
      <c r="BE23" t="e">
        <f>AND(ConsolidatedEventList!#REF!,"AAAAAHU/7Tg=")</f>
        <v>#REF!</v>
      </c>
      <c r="BF23">
        <f>IF(ConsolidatedEventList!30:30,"AAAAAHU/7Tk=",0)</f>
        <v>0</v>
      </c>
      <c r="BG23" t="b">
        <f>AND(ConsolidatedEventList!A30,"AAAAAHU/7To=")</f>
        <v>0</v>
      </c>
      <c r="BH23" t="b">
        <f>AND(ConsolidatedEventList!B30,"AAAAAHU/7Ts=")</f>
        <v>1</v>
      </c>
      <c r="BI23" t="e">
        <f>AND(ConsolidatedEventList!C30,"AAAAAHU/7Tw=")</f>
        <v>#VALUE!</v>
      </c>
      <c r="BJ23" t="e">
        <f>AND(ConsolidatedEventList!D30,"AAAAAHU/7T0=")</f>
        <v>#VALUE!</v>
      </c>
      <c r="BK23" t="b">
        <f>AND(ConsolidatedEventList!E30,"AAAAAHU/7T4=")</f>
        <v>0</v>
      </c>
      <c r="BL23" t="e">
        <f>AND(ConsolidatedEventList!F30,"AAAAAHU/7T8=")</f>
        <v>#VALUE!</v>
      </c>
      <c r="BM23" t="e">
        <f>AND(ConsolidatedEventList!G30,"AAAAAHU/7UA=")</f>
        <v>#VALUE!</v>
      </c>
      <c r="BN23" t="e">
        <f>AND(ConsolidatedEventList!H30,"AAAAAHU/7UE=")</f>
        <v>#VALUE!</v>
      </c>
      <c r="BO23" t="e">
        <f>AND(ConsolidatedEventList!#REF!,"AAAAAHU/7UI=")</f>
        <v>#REF!</v>
      </c>
      <c r="BP23">
        <f>IF(ConsolidatedEventList!31:31,"AAAAAHU/7UM=",0)</f>
        <v>0</v>
      </c>
      <c r="BQ23" t="b">
        <f>AND(ConsolidatedEventList!A31,"AAAAAHU/7UQ=")</f>
        <v>0</v>
      </c>
      <c r="BR23" t="b">
        <f>AND(ConsolidatedEventList!B31,"AAAAAHU/7UU=")</f>
        <v>1</v>
      </c>
      <c r="BS23" t="e">
        <f>AND(ConsolidatedEventList!C31,"AAAAAHU/7UY=")</f>
        <v>#VALUE!</v>
      </c>
      <c r="BT23" t="e">
        <f>AND(ConsolidatedEventList!D31,"AAAAAHU/7Uc=")</f>
        <v>#VALUE!</v>
      </c>
      <c r="BU23" t="b">
        <f>AND(ConsolidatedEventList!E31,"AAAAAHU/7Ug=")</f>
        <v>0</v>
      </c>
      <c r="BV23" t="e">
        <f>AND(ConsolidatedEventList!F31,"AAAAAHU/7Uk=")</f>
        <v>#VALUE!</v>
      </c>
      <c r="BW23" t="e">
        <f>AND(ConsolidatedEventList!G31,"AAAAAHU/7Uo=")</f>
        <v>#VALUE!</v>
      </c>
      <c r="BX23" t="e">
        <f>AND(ConsolidatedEventList!H31,"AAAAAHU/7Us=")</f>
        <v>#VALUE!</v>
      </c>
      <c r="BY23" t="e">
        <f>AND(ConsolidatedEventList!#REF!,"AAAAAHU/7Uw=")</f>
        <v>#REF!</v>
      </c>
      <c r="BZ23">
        <f>IF(ConsolidatedEventList!32:32,"AAAAAHU/7U0=",0)</f>
        <v>0</v>
      </c>
      <c r="CA23" t="b">
        <f>AND(ConsolidatedEventList!A32,"AAAAAHU/7U4=")</f>
        <v>0</v>
      </c>
      <c r="CB23" t="b">
        <f>AND(ConsolidatedEventList!B32,"AAAAAHU/7U8=")</f>
        <v>1</v>
      </c>
      <c r="CC23" t="e">
        <f>AND(ConsolidatedEventList!C32,"AAAAAHU/7VA=")</f>
        <v>#VALUE!</v>
      </c>
      <c r="CD23" t="e">
        <f>AND(ConsolidatedEventList!D32,"AAAAAHU/7VE=")</f>
        <v>#VALUE!</v>
      </c>
      <c r="CE23" t="b">
        <f>AND(ConsolidatedEventList!E32,"AAAAAHU/7VI=")</f>
        <v>0</v>
      </c>
      <c r="CF23" t="e">
        <f>AND(ConsolidatedEventList!F32,"AAAAAHU/7VM=")</f>
        <v>#VALUE!</v>
      </c>
      <c r="CG23" t="e">
        <f>AND(ConsolidatedEventList!G32,"AAAAAHU/7VQ=")</f>
        <v>#VALUE!</v>
      </c>
      <c r="CH23" t="e">
        <f>AND(ConsolidatedEventList!H32,"AAAAAHU/7VU=")</f>
        <v>#VALUE!</v>
      </c>
      <c r="CI23" t="e">
        <f>AND(ConsolidatedEventList!#REF!,"AAAAAHU/7VY=")</f>
        <v>#REF!</v>
      </c>
      <c r="CJ23">
        <f>IF(ConsolidatedEventList!33:33,"AAAAAHU/7Vc=",0)</f>
        <v>0</v>
      </c>
      <c r="CK23" t="b">
        <f>AND(ConsolidatedEventList!A33,"AAAAAHU/7Vg=")</f>
        <v>0</v>
      </c>
      <c r="CL23" t="b">
        <f>AND(ConsolidatedEventList!B33,"AAAAAHU/7Vk=")</f>
        <v>1</v>
      </c>
      <c r="CM23" t="e">
        <f>AND(ConsolidatedEventList!C33,"AAAAAHU/7Vo=")</f>
        <v>#VALUE!</v>
      </c>
      <c r="CN23" t="e">
        <f>AND(ConsolidatedEventList!D33,"AAAAAHU/7Vs=")</f>
        <v>#VALUE!</v>
      </c>
      <c r="CO23" t="b">
        <f>AND(ConsolidatedEventList!E33,"AAAAAHU/7Vw=")</f>
        <v>0</v>
      </c>
      <c r="CP23" t="e">
        <f>AND(ConsolidatedEventList!F33,"AAAAAHU/7V0=")</f>
        <v>#VALUE!</v>
      </c>
      <c r="CQ23" t="e">
        <f>AND(ConsolidatedEventList!G33,"AAAAAHU/7V4=")</f>
        <v>#VALUE!</v>
      </c>
      <c r="CR23" t="e">
        <f>AND(ConsolidatedEventList!H33,"AAAAAHU/7V8=")</f>
        <v>#VALUE!</v>
      </c>
      <c r="CS23" t="e">
        <f>AND(ConsolidatedEventList!#REF!,"AAAAAHU/7WA=")</f>
        <v>#REF!</v>
      </c>
      <c r="CT23">
        <f>IF(ConsolidatedEventList!34:34,"AAAAAHU/7WE=",0)</f>
        <v>0</v>
      </c>
      <c r="CU23" t="b">
        <f>AND(ConsolidatedEventList!A34,"AAAAAHU/7WI=")</f>
        <v>0</v>
      </c>
      <c r="CV23" t="b">
        <f>AND(ConsolidatedEventList!B34,"AAAAAHU/7WM=")</f>
        <v>1</v>
      </c>
      <c r="CW23" t="e">
        <f>AND(ConsolidatedEventList!C34,"AAAAAHU/7WQ=")</f>
        <v>#VALUE!</v>
      </c>
      <c r="CX23" t="e">
        <f>AND(ConsolidatedEventList!D34,"AAAAAHU/7WU=")</f>
        <v>#VALUE!</v>
      </c>
      <c r="CY23" t="b">
        <f>AND(ConsolidatedEventList!E34,"AAAAAHU/7WY=")</f>
        <v>0</v>
      </c>
      <c r="CZ23" t="e">
        <f>AND(ConsolidatedEventList!F34,"AAAAAHU/7Wc=")</f>
        <v>#VALUE!</v>
      </c>
      <c r="DA23" t="e">
        <f>AND(ConsolidatedEventList!G34,"AAAAAHU/7Wg=")</f>
        <v>#VALUE!</v>
      </c>
      <c r="DB23" t="e">
        <f>AND(ConsolidatedEventList!H34,"AAAAAHU/7Wk=")</f>
        <v>#VALUE!</v>
      </c>
      <c r="DC23" t="e">
        <f>AND(ConsolidatedEventList!#REF!,"AAAAAHU/7Wo=")</f>
        <v>#REF!</v>
      </c>
      <c r="DD23">
        <f>IF(ConsolidatedEventList!35:35,"AAAAAHU/7Ws=",0)</f>
        <v>0</v>
      </c>
      <c r="DE23" t="b">
        <f>AND(ConsolidatedEventList!A35,"AAAAAHU/7Ww=")</f>
        <v>0</v>
      </c>
      <c r="DF23" t="b">
        <f>AND(ConsolidatedEventList!B35,"AAAAAHU/7W0=")</f>
        <v>1</v>
      </c>
      <c r="DG23" t="e">
        <f>AND(ConsolidatedEventList!C35,"AAAAAHU/7W4=")</f>
        <v>#VALUE!</v>
      </c>
      <c r="DH23" t="e">
        <f>AND(ConsolidatedEventList!D35,"AAAAAHU/7W8=")</f>
        <v>#VALUE!</v>
      </c>
      <c r="DI23" t="b">
        <f>AND(ConsolidatedEventList!E35,"AAAAAHU/7XA=")</f>
        <v>0</v>
      </c>
      <c r="DJ23" t="e">
        <f>AND(ConsolidatedEventList!F35,"AAAAAHU/7XE=")</f>
        <v>#VALUE!</v>
      </c>
      <c r="DK23" t="e">
        <f>AND(ConsolidatedEventList!G35,"AAAAAHU/7XI=")</f>
        <v>#VALUE!</v>
      </c>
      <c r="DL23" t="e">
        <f>AND(ConsolidatedEventList!H35,"AAAAAHU/7XM=")</f>
        <v>#VALUE!</v>
      </c>
      <c r="DM23" t="e">
        <f>AND(ConsolidatedEventList!#REF!,"AAAAAHU/7XQ=")</f>
        <v>#REF!</v>
      </c>
      <c r="DN23">
        <f>IF(ConsolidatedEventList!36:36,"AAAAAHU/7XU=",0)</f>
        <v>0</v>
      </c>
      <c r="DO23" t="b">
        <f>AND(ConsolidatedEventList!A36,"AAAAAHU/7XY=")</f>
        <v>0</v>
      </c>
      <c r="DP23" t="b">
        <f>AND(ConsolidatedEventList!B36,"AAAAAHU/7Xc=")</f>
        <v>1</v>
      </c>
      <c r="DQ23" t="e">
        <f>AND(ConsolidatedEventList!C36,"AAAAAHU/7Xg=")</f>
        <v>#VALUE!</v>
      </c>
      <c r="DR23" t="e">
        <f>AND(ConsolidatedEventList!D36,"AAAAAHU/7Xk=")</f>
        <v>#VALUE!</v>
      </c>
      <c r="DS23" t="b">
        <f>AND(ConsolidatedEventList!E36,"AAAAAHU/7Xo=")</f>
        <v>0</v>
      </c>
      <c r="DT23" t="e">
        <f>AND(ConsolidatedEventList!F36,"AAAAAHU/7Xs=")</f>
        <v>#VALUE!</v>
      </c>
      <c r="DU23" t="e">
        <f>AND(ConsolidatedEventList!G36,"AAAAAHU/7Xw=")</f>
        <v>#VALUE!</v>
      </c>
      <c r="DV23" t="e">
        <f>AND(ConsolidatedEventList!H36,"AAAAAHU/7X0=")</f>
        <v>#VALUE!</v>
      </c>
      <c r="DW23" t="e">
        <f>AND(ConsolidatedEventList!#REF!,"AAAAAHU/7X4=")</f>
        <v>#REF!</v>
      </c>
      <c r="DX23">
        <f>IF(ConsolidatedEventList!37:37,"AAAAAHU/7X8=",0)</f>
        <v>0</v>
      </c>
      <c r="DY23" t="b">
        <f>AND(ConsolidatedEventList!A37,"AAAAAHU/7YA=")</f>
        <v>0</v>
      </c>
      <c r="DZ23" t="b">
        <f>AND(ConsolidatedEventList!B37,"AAAAAHU/7YE=")</f>
        <v>1</v>
      </c>
      <c r="EA23" t="e">
        <f>AND(ConsolidatedEventList!C37,"AAAAAHU/7YI=")</f>
        <v>#VALUE!</v>
      </c>
      <c r="EB23" t="e">
        <f>AND(ConsolidatedEventList!D37,"AAAAAHU/7YM=")</f>
        <v>#VALUE!</v>
      </c>
      <c r="EC23" t="b">
        <f>AND(ConsolidatedEventList!E37,"AAAAAHU/7YQ=")</f>
        <v>0</v>
      </c>
      <c r="ED23" t="e">
        <f>AND(ConsolidatedEventList!F37,"AAAAAHU/7YU=")</f>
        <v>#VALUE!</v>
      </c>
      <c r="EE23" t="e">
        <f>AND(ConsolidatedEventList!G37,"AAAAAHU/7YY=")</f>
        <v>#VALUE!</v>
      </c>
      <c r="EF23" t="e">
        <f>AND(ConsolidatedEventList!H37,"AAAAAHU/7Yc=")</f>
        <v>#VALUE!</v>
      </c>
      <c r="EG23" t="e">
        <f>AND(ConsolidatedEventList!#REF!,"AAAAAHU/7Yg=")</f>
        <v>#REF!</v>
      </c>
      <c r="EH23" t="e">
        <f>IF(ConsolidatedEventList!#REF!,"AAAAAHU/7Yk=",0)</f>
        <v>#REF!</v>
      </c>
      <c r="EI23" t="e">
        <f>AND(ConsolidatedEventList!#REF!,"AAAAAHU/7Yo=")</f>
        <v>#REF!</v>
      </c>
      <c r="EJ23" t="e">
        <f>AND(ConsolidatedEventList!#REF!,"AAAAAHU/7Ys=")</f>
        <v>#REF!</v>
      </c>
      <c r="EK23" t="e">
        <f>AND(ConsolidatedEventList!#REF!,"AAAAAHU/7Yw=")</f>
        <v>#REF!</v>
      </c>
      <c r="EL23" t="e">
        <f>AND(ConsolidatedEventList!#REF!,"AAAAAHU/7Y0=")</f>
        <v>#REF!</v>
      </c>
      <c r="EM23" t="e">
        <f>AND(ConsolidatedEventList!#REF!,"AAAAAHU/7Y4=")</f>
        <v>#REF!</v>
      </c>
      <c r="EN23" t="e">
        <f>AND(ConsolidatedEventList!#REF!,"AAAAAHU/7Y8=")</f>
        <v>#REF!</v>
      </c>
      <c r="EO23" t="e">
        <f>AND(ConsolidatedEventList!#REF!,"AAAAAHU/7ZA=")</f>
        <v>#REF!</v>
      </c>
      <c r="EP23" t="e">
        <f>AND(ConsolidatedEventList!#REF!,"AAAAAHU/7ZE=")</f>
        <v>#REF!</v>
      </c>
      <c r="EQ23" t="e">
        <f>AND(ConsolidatedEventList!#REF!,"AAAAAHU/7ZI=")</f>
        <v>#REF!</v>
      </c>
      <c r="ER23" t="e">
        <f>IF(ConsolidatedEventList!#REF!,"AAAAAHU/7ZM=",0)</f>
        <v>#REF!</v>
      </c>
      <c r="ES23" t="e">
        <f>AND(ConsolidatedEventList!#REF!,"AAAAAHU/7ZQ=")</f>
        <v>#REF!</v>
      </c>
      <c r="ET23" t="e">
        <f>AND(ConsolidatedEventList!#REF!,"AAAAAHU/7ZU=")</f>
        <v>#REF!</v>
      </c>
      <c r="EU23" t="e">
        <f>AND(ConsolidatedEventList!#REF!,"AAAAAHU/7ZY=")</f>
        <v>#REF!</v>
      </c>
      <c r="EV23" t="e">
        <f>AND(ConsolidatedEventList!#REF!,"AAAAAHU/7Zc=")</f>
        <v>#REF!</v>
      </c>
      <c r="EW23" t="e">
        <f>AND(ConsolidatedEventList!#REF!,"AAAAAHU/7Zg=")</f>
        <v>#REF!</v>
      </c>
      <c r="EX23" t="e">
        <f>AND(ConsolidatedEventList!#REF!,"AAAAAHU/7Zk=")</f>
        <v>#REF!</v>
      </c>
      <c r="EY23" t="e">
        <f>AND(ConsolidatedEventList!#REF!,"AAAAAHU/7Zo=")</f>
        <v>#REF!</v>
      </c>
      <c r="EZ23" t="e">
        <f>AND(ConsolidatedEventList!#REF!,"AAAAAHU/7Zs=")</f>
        <v>#REF!</v>
      </c>
      <c r="FA23" t="e">
        <f>AND(ConsolidatedEventList!#REF!,"AAAAAHU/7Zw=")</f>
        <v>#REF!</v>
      </c>
      <c r="FB23">
        <f>IF(ConsolidatedEventList!46:46,"AAAAAHU/7Z0=",0)</f>
        <v>0</v>
      </c>
      <c r="FC23" t="b">
        <f>AND(ConsolidatedEventList!A46,"AAAAAHU/7Z4=")</f>
        <v>0</v>
      </c>
      <c r="FD23" t="b">
        <f>AND(ConsolidatedEventList!B46,"AAAAAHU/7Z8=")</f>
        <v>1</v>
      </c>
      <c r="FE23" t="e">
        <f>AND(ConsolidatedEventList!C46,"AAAAAHU/7aA=")</f>
        <v>#VALUE!</v>
      </c>
      <c r="FF23" t="e">
        <f>AND(ConsolidatedEventList!D46,"AAAAAHU/7aE=")</f>
        <v>#VALUE!</v>
      </c>
      <c r="FG23" t="b">
        <f>AND(ConsolidatedEventList!E46,"AAAAAHU/7aI=")</f>
        <v>0</v>
      </c>
      <c r="FH23" t="e">
        <f>AND(ConsolidatedEventList!F46,"AAAAAHU/7aM=")</f>
        <v>#VALUE!</v>
      </c>
      <c r="FI23" t="e">
        <f>AND(ConsolidatedEventList!G46,"AAAAAHU/7aQ=")</f>
        <v>#VALUE!</v>
      </c>
      <c r="FJ23" t="e">
        <f>AND(ConsolidatedEventList!H46,"AAAAAHU/7aU=")</f>
        <v>#VALUE!</v>
      </c>
      <c r="FK23" t="e">
        <f>AND(ConsolidatedEventList!#REF!,"AAAAAHU/7aY=")</f>
        <v>#REF!</v>
      </c>
      <c r="FL23">
        <f>IF(ConsolidatedEventList!47:47,"AAAAAHU/7ac=",0)</f>
        <v>0</v>
      </c>
      <c r="FM23" t="b">
        <f>AND(ConsolidatedEventList!A47,"AAAAAHU/7ag=")</f>
        <v>0</v>
      </c>
      <c r="FN23" t="b">
        <f>AND(ConsolidatedEventList!B47,"AAAAAHU/7ak=")</f>
        <v>1</v>
      </c>
      <c r="FO23" t="e">
        <f>AND(ConsolidatedEventList!C47,"AAAAAHU/7ao=")</f>
        <v>#VALUE!</v>
      </c>
      <c r="FP23" t="e">
        <f>AND(ConsolidatedEventList!D47,"AAAAAHU/7as=")</f>
        <v>#VALUE!</v>
      </c>
      <c r="FQ23" t="b">
        <f>AND(ConsolidatedEventList!E47,"AAAAAHU/7aw=")</f>
        <v>0</v>
      </c>
      <c r="FR23" t="e">
        <f>AND(ConsolidatedEventList!F47,"AAAAAHU/7a0=")</f>
        <v>#VALUE!</v>
      </c>
      <c r="FS23" t="e">
        <f>AND(ConsolidatedEventList!G47,"AAAAAHU/7a4=")</f>
        <v>#VALUE!</v>
      </c>
      <c r="FT23" t="e">
        <f>AND(ConsolidatedEventList!H47,"AAAAAHU/7a8=")</f>
        <v>#VALUE!</v>
      </c>
      <c r="FU23" t="e">
        <f>AND(ConsolidatedEventList!#REF!,"AAAAAHU/7bA=")</f>
        <v>#REF!</v>
      </c>
      <c r="FV23">
        <f>IF(ConsolidatedEventList!48:48,"AAAAAHU/7bE=",0)</f>
        <v>0</v>
      </c>
      <c r="FW23" t="b">
        <f>AND(ConsolidatedEventList!A48,"AAAAAHU/7bI=")</f>
        <v>0</v>
      </c>
      <c r="FX23" t="b">
        <f>AND(ConsolidatedEventList!B48,"AAAAAHU/7bM=")</f>
        <v>1</v>
      </c>
      <c r="FY23" t="e">
        <f>AND(ConsolidatedEventList!C48,"AAAAAHU/7bQ=")</f>
        <v>#VALUE!</v>
      </c>
      <c r="FZ23" t="e">
        <f>AND(ConsolidatedEventList!D48,"AAAAAHU/7bU=")</f>
        <v>#VALUE!</v>
      </c>
      <c r="GA23" t="b">
        <f>AND(ConsolidatedEventList!E48,"AAAAAHU/7bY=")</f>
        <v>0</v>
      </c>
      <c r="GB23" t="e">
        <f>AND(ConsolidatedEventList!F48,"AAAAAHU/7bc=")</f>
        <v>#VALUE!</v>
      </c>
      <c r="GC23" t="e">
        <f>AND(ConsolidatedEventList!G48,"AAAAAHU/7bg=")</f>
        <v>#VALUE!</v>
      </c>
      <c r="GD23" t="e">
        <f>AND(ConsolidatedEventList!H48,"AAAAAHU/7bk=")</f>
        <v>#VALUE!</v>
      </c>
      <c r="GE23" t="e">
        <f>AND(ConsolidatedEventList!#REF!,"AAAAAHU/7bo=")</f>
        <v>#REF!</v>
      </c>
      <c r="GF23">
        <f>IF(ConsolidatedEventList!49:49,"AAAAAHU/7bs=",0)</f>
        <v>0</v>
      </c>
      <c r="GG23" t="b">
        <f>AND(ConsolidatedEventList!A49,"AAAAAHU/7bw=")</f>
        <v>0</v>
      </c>
      <c r="GH23" t="b">
        <f>AND(ConsolidatedEventList!B49,"AAAAAHU/7b0=")</f>
        <v>1</v>
      </c>
      <c r="GI23" t="e">
        <f>AND(ConsolidatedEventList!C49,"AAAAAHU/7b4=")</f>
        <v>#VALUE!</v>
      </c>
      <c r="GJ23" t="e">
        <f>AND(ConsolidatedEventList!D49,"AAAAAHU/7b8=")</f>
        <v>#VALUE!</v>
      </c>
      <c r="GK23" t="b">
        <f>AND(ConsolidatedEventList!E49,"AAAAAHU/7cA=")</f>
        <v>0</v>
      </c>
      <c r="GL23" t="e">
        <f>AND(ConsolidatedEventList!F49,"AAAAAHU/7cE=")</f>
        <v>#VALUE!</v>
      </c>
      <c r="GM23" t="e">
        <f>AND(ConsolidatedEventList!G49,"AAAAAHU/7cI=")</f>
        <v>#VALUE!</v>
      </c>
      <c r="GN23" t="e">
        <f>AND(ConsolidatedEventList!H49,"AAAAAHU/7cM=")</f>
        <v>#VALUE!</v>
      </c>
      <c r="GO23" t="e">
        <f>AND(ConsolidatedEventList!#REF!,"AAAAAHU/7cQ=")</f>
        <v>#REF!</v>
      </c>
      <c r="GP23">
        <f>IF(ConsolidatedEventList!50:50,"AAAAAHU/7cU=",0)</f>
        <v>0</v>
      </c>
      <c r="GQ23" t="b">
        <f>AND(ConsolidatedEventList!A50,"AAAAAHU/7cY=")</f>
        <v>0</v>
      </c>
      <c r="GR23" t="b">
        <f>AND(ConsolidatedEventList!B50,"AAAAAHU/7cc=")</f>
        <v>1</v>
      </c>
      <c r="GS23" t="e">
        <f>AND(ConsolidatedEventList!C50,"AAAAAHU/7cg=")</f>
        <v>#VALUE!</v>
      </c>
      <c r="GT23" t="e">
        <f>AND(ConsolidatedEventList!D50,"AAAAAHU/7ck=")</f>
        <v>#VALUE!</v>
      </c>
      <c r="GU23" t="b">
        <f>AND(ConsolidatedEventList!E50,"AAAAAHU/7co=")</f>
        <v>0</v>
      </c>
      <c r="GV23" t="e">
        <f>AND(ConsolidatedEventList!F50,"AAAAAHU/7cs=")</f>
        <v>#VALUE!</v>
      </c>
      <c r="GW23" t="e">
        <f>AND(ConsolidatedEventList!G50,"AAAAAHU/7cw=")</f>
        <v>#VALUE!</v>
      </c>
      <c r="GX23" t="e">
        <f>AND(ConsolidatedEventList!H50,"AAAAAHU/7c0=")</f>
        <v>#VALUE!</v>
      </c>
      <c r="GY23" t="e">
        <f>AND(ConsolidatedEventList!#REF!,"AAAAAHU/7c4=")</f>
        <v>#REF!</v>
      </c>
      <c r="GZ23">
        <f>IF(ConsolidatedEventList!51:51,"AAAAAHU/7c8=",0)</f>
        <v>0</v>
      </c>
      <c r="HA23" t="b">
        <f>AND(ConsolidatedEventList!A51,"AAAAAHU/7dA=")</f>
        <v>0</v>
      </c>
      <c r="HB23" t="b">
        <f>AND(ConsolidatedEventList!B51,"AAAAAHU/7dE=")</f>
        <v>1</v>
      </c>
      <c r="HC23" t="e">
        <f>AND(ConsolidatedEventList!C51,"AAAAAHU/7dI=")</f>
        <v>#VALUE!</v>
      </c>
      <c r="HD23" t="e">
        <f>AND(ConsolidatedEventList!D51,"AAAAAHU/7dM=")</f>
        <v>#VALUE!</v>
      </c>
      <c r="HE23" t="b">
        <f>AND(ConsolidatedEventList!E51,"AAAAAHU/7dQ=")</f>
        <v>0</v>
      </c>
      <c r="HF23" t="e">
        <f>AND(ConsolidatedEventList!F51,"AAAAAHU/7dU=")</f>
        <v>#VALUE!</v>
      </c>
      <c r="HG23" t="e">
        <f>AND(ConsolidatedEventList!G51,"AAAAAHU/7dY=")</f>
        <v>#VALUE!</v>
      </c>
      <c r="HH23" t="e">
        <f>AND(ConsolidatedEventList!H51,"AAAAAHU/7dc=")</f>
        <v>#VALUE!</v>
      </c>
      <c r="HI23" t="e">
        <f>AND(ConsolidatedEventList!#REF!,"AAAAAHU/7dg=")</f>
        <v>#REF!</v>
      </c>
      <c r="HJ23">
        <f>IF(ConsolidatedEventList!52:52,"AAAAAHU/7dk=",0)</f>
        <v>0</v>
      </c>
      <c r="HK23" t="b">
        <f>AND(ConsolidatedEventList!A52,"AAAAAHU/7do=")</f>
        <v>0</v>
      </c>
      <c r="HL23" t="b">
        <f>AND(ConsolidatedEventList!B52,"AAAAAHU/7ds=")</f>
        <v>1</v>
      </c>
      <c r="HM23" t="e">
        <f>AND(ConsolidatedEventList!C52,"AAAAAHU/7dw=")</f>
        <v>#VALUE!</v>
      </c>
      <c r="HN23" t="e">
        <f>AND(ConsolidatedEventList!D52,"AAAAAHU/7d0=")</f>
        <v>#VALUE!</v>
      </c>
      <c r="HO23" t="b">
        <f>AND(ConsolidatedEventList!E52,"AAAAAHU/7d4=")</f>
        <v>0</v>
      </c>
      <c r="HP23" t="e">
        <f>AND(ConsolidatedEventList!F52,"AAAAAHU/7d8=")</f>
        <v>#VALUE!</v>
      </c>
      <c r="HQ23" t="e">
        <f>AND(ConsolidatedEventList!G52,"AAAAAHU/7eA=")</f>
        <v>#VALUE!</v>
      </c>
      <c r="HR23" t="e">
        <f>AND(ConsolidatedEventList!H52,"AAAAAHU/7eE=")</f>
        <v>#VALUE!</v>
      </c>
      <c r="HS23" t="e">
        <f>AND(ConsolidatedEventList!#REF!,"AAAAAHU/7eI=")</f>
        <v>#REF!</v>
      </c>
      <c r="HT23">
        <f>IF(ConsolidatedEventList!53:53,"AAAAAHU/7eM=",0)</f>
        <v>0</v>
      </c>
      <c r="HU23" t="b">
        <f>AND(ConsolidatedEventList!A53,"AAAAAHU/7eQ=")</f>
        <v>0</v>
      </c>
      <c r="HV23" t="b">
        <f>AND(ConsolidatedEventList!B53,"AAAAAHU/7eU=")</f>
        <v>1</v>
      </c>
      <c r="HW23" t="e">
        <f>AND(ConsolidatedEventList!C53,"AAAAAHU/7eY=")</f>
        <v>#VALUE!</v>
      </c>
      <c r="HX23" t="e">
        <f>AND(ConsolidatedEventList!D53,"AAAAAHU/7ec=")</f>
        <v>#VALUE!</v>
      </c>
      <c r="HY23" t="b">
        <f>AND(ConsolidatedEventList!E53,"AAAAAHU/7eg=")</f>
        <v>0</v>
      </c>
      <c r="HZ23" t="e">
        <f>AND(ConsolidatedEventList!F53,"AAAAAHU/7ek=")</f>
        <v>#VALUE!</v>
      </c>
      <c r="IA23" t="e">
        <f>AND(ConsolidatedEventList!G53,"AAAAAHU/7eo=")</f>
        <v>#VALUE!</v>
      </c>
      <c r="IB23" t="e">
        <f>AND(ConsolidatedEventList!H53,"AAAAAHU/7es=")</f>
        <v>#VALUE!</v>
      </c>
      <c r="IC23" t="e">
        <f>AND(ConsolidatedEventList!#REF!,"AAAAAHU/7ew=")</f>
        <v>#REF!</v>
      </c>
      <c r="ID23">
        <f>IF(ConsolidatedEventList!62:62,"AAAAAHU/7e0=",0)</f>
        <v>0</v>
      </c>
      <c r="IE23" t="b">
        <f>AND(ConsolidatedEventList!A62,"AAAAAHU/7e4=")</f>
        <v>0</v>
      </c>
      <c r="IF23" t="b">
        <f>AND(ConsolidatedEventList!B62,"AAAAAHU/7e8=")</f>
        <v>1</v>
      </c>
      <c r="IG23" t="e">
        <f>AND(ConsolidatedEventList!C62,"AAAAAHU/7fA=")</f>
        <v>#VALUE!</v>
      </c>
      <c r="IH23" t="e">
        <f>AND(ConsolidatedEventList!D62,"AAAAAHU/7fE=")</f>
        <v>#VALUE!</v>
      </c>
      <c r="II23" t="b">
        <f>AND(ConsolidatedEventList!E62,"AAAAAHU/7fI=")</f>
        <v>0</v>
      </c>
      <c r="IJ23" t="e">
        <f>AND(ConsolidatedEventList!F62,"AAAAAHU/7fM=")</f>
        <v>#VALUE!</v>
      </c>
      <c r="IK23" t="e">
        <f>AND(ConsolidatedEventList!G62,"AAAAAHU/7fQ=")</f>
        <v>#VALUE!</v>
      </c>
      <c r="IL23" t="e">
        <f>AND(ConsolidatedEventList!H62,"AAAAAHU/7fU=")</f>
        <v>#VALUE!</v>
      </c>
      <c r="IM23" t="e">
        <f>AND(ConsolidatedEventList!#REF!,"AAAAAHU/7fY=")</f>
        <v>#REF!</v>
      </c>
      <c r="IN23">
        <f>IF(ConsolidatedEventList!63:63,"AAAAAHU/7fc=",0)</f>
        <v>0</v>
      </c>
      <c r="IO23" t="b">
        <f>AND(ConsolidatedEventList!A63,"AAAAAHU/7fg=")</f>
        <v>0</v>
      </c>
      <c r="IP23" t="b">
        <f>AND(ConsolidatedEventList!B63,"AAAAAHU/7fk=")</f>
        <v>1</v>
      </c>
      <c r="IQ23" t="e">
        <f>AND(ConsolidatedEventList!C63,"AAAAAHU/7fo=")</f>
        <v>#VALUE!</v>
      </c>
      <c r="IR23" t="e">
        <f>AND(ConsolidatedEventList!D63,"AAAAAHU/7fs=")</f>
        <v>#VALUE!</v>
      </c>
      <c r="IS23" t="b">
        <f>AND(ConsolidatedEventList!E63,"AAAAAHU/7fw=")</f>
        <v>0</v>
      </c>
      <c r="IT23" t="e">
        <f>AND(ConsolidatedEventList!F63,"AAAAAHU/7f0=")</f>
        <v>#VALUE!</v>
      </c>
      <c r="IU23" t="e">
        <f>AND(ConsolidatedEventList!G63,"AAAAAHU/7f4=")</f>
        <v>#VALUE!</v>
      </c>
      <c r="IV23" t="e">
        <f>AND(ConsolidatedEventList!H63,"AAAAAHU/7f8=")</f>
        <v>#VALUE!</v>
      </c>
    </row>
    <row r="24" spans="1:256" x14ac:dyDescent="0.25">
      <c r="A24" t="e">
        <f>AND(ConsolidatedEventList!#REF!,"AAAAAH6yvwA=")</f>
        <v>#REF!</v>
      </c>
      <c r="B24" t="str">
        <f>IF(ConsolidatedEventList!64:64,"AAAAAH6yvwE=",0)</f>
        <v>AAAAAH6yvwE=</v>
      </c>
      <c r="C24" t="b">
        <f>AND(ConsolidatedEventList!A64,"AAAAAH6yvwI=")</f>
        <v>0</v>
      </c>
      <c r="D24" t="b">
        <f>AND(ConsolidatedEventList!B64,"AAAAAH6yvwM=")</f>
        <v>1</v>
      </c>
      <c r="E24" t="e">
        <f>AND(ConsolidatedEventList!C64,"AAAAAH6yvwQ=")</f>
        <v>#VALUE!</v>
      </c>
      <c r="F24" t="e">
        <f>AND(ConsolidatedEventList!D64,"AAAAAH6yvwU=")</f>
        <v>#VALUE!</v>
      </c>
      <c r="G24" t="b">
        <f>AND(ConsolidatedEventList!E64,"AAAAAH6yvwY=")</f>
        <v>0</v>
      </c>
      <c r="H24" t="e">
        <f>AND(ConsolidatedEventList!F64,"AAAAAH6yvwc=")</f>
        <v>#VALUE!</v>
      </c>
      <c r="I24" t="e">
        <f>AND(ConsolidatedEventList!G64,"AAAAAH6yvwg=")</f>
        <v>#VALUE!</v>
      </c>
      <c r="J24" t="e">
        <f>AND(ConsolidatedEventList!H64,"AAAAAH6yvwk=")</f>
        <v>#VALUE!</v>
      </c>
      <c r="K24" t="e">
        <f>AND(ConsolidatedEventList!#REF!,"AAAAAH6yvwo=")</f>
        <v>#REF!</v>
      </c>
      <c r="L24">
        <f>IF(ConsolidatedEventList!65:65,"AAAAAH6yvws=",0)</f>
        <v>0</v>
      </c>
      <c r="M24" t="b">
        <f>AND(ConsolidatedEventList!A65,"AAAAAH6yvww=")</f>
        <v>0</v>
      </c>
      <c r="N24" t="b">
        <f>AND(ConsolidatedEventList!B65,"AAAAAH6yvw0=")</f>
        <v>1</v>
      </c>
      <c r="O24" t="e">
        <f>AND(ConsolidatedEventList!C65,"AAAAAH6yvw4=")</f>
        <v>#VALUE!</v>
      </c>
      <c r="P24" t="e">
        <f>AND(ConsolidatedEventList!D65,"AAAAAH6yvw8=")</f>
        <v>#VALUE!</v>
      </c>
      <c r="Q24" t="b">
        <f>AND(ConsolidatedEventList!E65,"AAAAAH6yvxA=")</f>
        <v>0</v>
      </c>
      <c r="R24" t="e">
        <f>AND(ConsolidatedEventList!F65,"AAAAAH6yvxE=")</f>
        <v>#VALUE!</v>
      </c>
      <c r="S24" t="e">
        <f>AND(ConsolidatedEventList!G65,"AAAAAH6yvxI=")</f>
        <v>#VALUE!</v>
      </c>
      <c r="T24" t="e">
        <f>AND(ConsolidatedEventList!H65,"AAAAAH6yvxM=")</f>
        <v>#VALUE!</v>
      </c>
      <c r="U24" t="e">
        <f>AND(ConsolidatedEventList!#REF!,"AAAAAH6yvxQ=")</f>
        <v>#REF!</v>
      </c>
      <c r="V24">
        <f>IF(ConsolidatedEventList!66:66,"AAAAAH6yvxU=",0)</f>
        <v>0</v>
      </c>
      <c r="W24" t="b">
        <f>AND(ConsolidatedEventList!A66,"AAAAAH6yvxY=")</f>
        <v>0</v>
      </c>
      <c r="X24" t="b">
        <f>AND(ConsolidatedEventList!B66,"AAAAAH6yvxc=")</f>
        <v>1</v>
      </c>
      <c r="Y24" t="e">
        <f>AND(ConsolidatedEventList!C66,"AAAAAH6yvxg=")</f>
        <v>#VALUE!</v>
      </c>
      <c r="Z24" t="e">
        <f>AND(ConsolidatedEventList!D66,"AAAAAH6yvxk=")</f>
        <v>#VALUE!</v>
      </c>
      <c r="AA24" t="b">
        <f>AND(ConsolidatedEventList!E66,"AAAAAH6yvxo=")</f>
        <v>0</v>
      </c>
      <c r="AB24" t="e">
        <f>AND(ConsolidatedEventList!F66,"AAAAAH6yvxs=")</f>
        <v>#VALUE!</v>
      </c>
      <c r="AC24" t="e">
        <f>AND(ConsolidatedEventList!G66,"AAAAAH6yvxw=")</f>
        <v>#VALUE!</v>
      </c>
      <c r="AD24" t="e">
        <f>AND(ConsolidatedEventList!H66,"AAAAAH6yvx0=")</f>
        <v>#VALUE!</v>
      </c>
      <c r="AE24" t="e">
        <f>AND(ConsolidatedEventList!#REF!,"AAAAAH6yvx4=")</f>
        <v>#REF!</v>
      </c>
      <c r="AF24">
        <f>IF(ConsolidatedEventList!67:67,"AAAAAH6yvx8=",0)</f>
        <v>0</v>
      </c>
      <c r="AG24" t="b">
        <f>AND(ConsolidatedEventList!A67,"AAAAAH6yvyA=")</f>
        <v>0</v>
      </c>
      <c r="AH24" t="b">
        <f>AND(ConsolidatedEventList!B67,"AAAAAH6yvyE=")</f>
        <v>1</v>
      </c>
      <c r="AI24" t="e">
        <f>AND(ConsolidatedEventList!C67,"AAAAAH6yvyI=")</f>
        <v>#VALUE!</v>
      </c>
      <c r="AJ24" t="e">
        <f>AND(ConsolidatedEventList!D67,"AAAAAH6yvyM=")</f>
        <v>#VALUE!</v>
      </c>
      <c r="AK24" t="b">
        <f>AND(ConsolidatedEventList!E67,"AAAAAH6yvyQ=")</f>
        <v>0</v>
      </c>
      <c r="AL24" t="e">
        <f>AND(ConsolidatedEventList!F67,"AAAAAH6yvyU=")</f>
        <v>#VALUE!</v>
      </c>
      <c r="AM24" t="e">
        <f>AND(ConsolidatedEventList!G67,"AAAAAH6yvyY=")</f>
        <v>#VALUE!</v>
      </c>
      <c r="AN24" t="e">
        <f>AND(ConsolidatedEventList!H67,"AAAAAH6yvyc=")</f>
        <v>#VALUE!</v>
      </c>
      <c r="AO24" t="e">
        <f>AND(ConsolidatedEventList!#REF!,"AAAAAH6yvyg=")</f>
        <v>#REF!</v>
      </c>
      <c r="AP24">
        <f>IF(ConsolidatedEventList!68:68,"AAAAAH6yvyk=",0)</f>
        <v>0</v>
      </c>
      <c r="AQ24" t="b">
        <f>AND(ConsolidatedEventList!A68,"AAAAAH6yvyo=")</f>
        <v>0</v>
      </c>
      <c r="AR24" t="b">
        <f>AND(ConsolidatedEventList!B68,"AAAAAH6yvys=")</f>
        <v>1</v>
      </c>
      <c r="AS24" t="e">
        <f>AND(ConsolidatedEventList!C68,"AAAAAH6yvyw=")</f>
        <v>#VALUE!</v>
      </c>
      <c r="AT24" t="e">
        <f>AND(ConsolidatedEventList!D68,"AAAAAH6yvy0=")</f>
        <v>#VALUE!</v>
      </c>
      <c r="AU24" t="b">
        <f>AND(ConsolidatedEventList!E68,"AAAAAH6yvy4=")</f>
        <v>0</v>
      </c>
      <c r="AV24" t="e">
        <f>AND(ConsolidatedEventList!F68,"AAAAAH6yvy8=")</f>
        <v>#VALUE!</v>
      </c>
      <c r="AW24" t="e">
        <f>AND(ConsolidatedEventList!G68,"AAAAAH6yvzA=")</f>
        <v>#VALUE!</v>
      </c>
      <c r="AX24" t="e">
        <f>AND(ConsolidatedEventList!H68,"AAAAAH6yvzE=")</f>
        <v>#VALUE!</v>
      </c>
      <c r="AY24" t="e">
        <f>AND(ConsolidatedEventList!#REF!,"AAAAAH6yvzI=")</f>
        <v>#REF!</v>
      </c>
      <c r="AZ24">
        <f>IF(ConsolidatedEventList!69:69,"AAAAAH6yvzM=",0)</f>
        <v>0</v>
      </c>
      <c r="BA24" t="b">
        <f>AND(ConsolidatedEventList!A69,"AAAAAH6yvzQ=")</f>
        <v>0</v>
      </c>
      <c r="BB24" t="b">
        <f>AND(ConsolidatedEventList!B69,"AAAAAH6yvzU=")</f>
        <v>1</v>
      </c>
      <c r="BC24" t="e">
        <f>AND(ConsolidatedEventList!C69,"AAAAAH6yvzY=")</f>
        <v>#VALUE!</v>
      </c>
      <c r="BD24" t="e">
        <f>AND(ConsolidatedEventList!D69,"AAAAAH6yvzc=")</f>
        <v>#VALUE!</v>
      </c>
      <c r="BE24" t="b">
        <f>AND(ConsolidatedEventList!E69,"AAAAAH6yvzg=")</f>
        <v>0</v>
      </c>
      <c r="BF24" t="e">
        <f>AND(ConsolidatedEventList!F69,"AAAAAH6yvzk=")</f>
        <v>#VALUE!</v>
      </c>
      <c r="BG24" t="e">
        <f>AND(ConsolidatedEventList!G69,"AAAAAH6yvzo=")</f>
        <v>#VALUE!</v>
      </c>
      <c r="BH24" t="e">
        <f>AND(ConsolidatedEventList!H69,"AAAAAH6yvzs=")</f>
        <v>#VALUE!</v>
      </c>
      <c r="BI24" t="e">
        <f>AND(ConsolidatedEventList!#REF!,"AAAAAH6yvzw=")</f>
        <v>#REF!</v>
      </c>
      <c r="BJ24">
        <f>IF(ConsolidatedEventList!70:70,"AAAAAH6yvz0=",0)</f>
        <v>0</v>
      </c>
      <c r="BK24" t="b">
        <f>AND(ConsolidatedEventList!A70,"AAAAAH6yvz4=")</f>
        <v>0</v>
      </c>
      <c r="BL24" t="b">
        <f>AND(ConsolidatedEventList!B70,"AAAAAH6yvz8=")</f>
        <v>1</v>
      </c>
      <c r="BM24" t="e">
        <f>AND(ConsolidatedEventList!C70,"AAAAAH6yv0A=")</f>
        <v>#VALUE!</v>
      </c>
      <c r="BN24" t="e">
        <f>AND(ConsolidatedEventList!D70,"AAAAAH6yv0E=")</f>
        <v>#VALUE!</v>
      </c>
      <c r="BO24" t="b">
        <f>AND(ConsolidatedEventList!E70,"AAAAAH6yv0I=")</f>
        <v>0</v>
      </c>
      <c r="BP24" t="e">
        <f>AND(ConsolidatedEventList!F70,"AAAAAH6yv0M=")</f>
        <v>#VALUE!</v>
      </c>
      <c r="BQ24" t="e">
        <f>AND(ConsolidatedEventList!G70,"AAAAAH6yv0Q=")</f>
        <v>#VALUE!</v>
      </c>
      <c r="BR24" t="e">
        <f>AND(ConsolidatedEventList!H70,"AAAAAH6yv0U=")</f>
        <v>#VALUE!</v>
      </c>
      <c r="BS24" t="e">
        <f>AND(ConsolidatedEventList!#REF!,"AAAAAH6yv0Y=")</f>
        <v>#REF!</v>
      </c>
      <c r="BT24">
        <f>IF(ConsolidatedEventList!71:71,"AAAAAH6yv0c=",0)</f>
        <v>0</v>
      </c>
      <c r="BU24" t="b">
        <f>AND(ConsolidatedEventList!A71,"AAAAAH6yv0g=")</f>
        <v>0</v>
      </c>
      <c r="BV24" t="b">
        <f>AND(ConsolidatedEventList!B71,"AAAAAH6yv0k=")</f>
        <v>1</v>
      </c>
      <c r="BW24" t="e">
        <f>AND(ConsolidatedEventList!C71,"AAAAAH6yv0o=")</f>
        <v>#VALUE!</v>
      </c>
      <c r="BX24" t="e">
        <f>AND(ConsolidatedEventList!D71,"AAAAAH6yv0s=")</f>
        <v>#VALUE!</v>
      </c>
      <c r="BY24" t="b">
        <f>AND(ConsolidatedEventList!E71,"AAAAAH6yv0w=")</f>
        <v>0</v>
      </c>
      <c r="BZ24" t="e">
        <f>AND(ConsolidatedEventList!F71,"AAAAAH6yv00=")</f>
        <v>#VALUE!</v>
      </c>
      <c r="CA24" t="e">
        <f>AND(ConsolidatedEventList!G71,"AAAAAH6yv04=")</f>
        <v>#VALUE!</v>
      </c>
      <c r="CB24" t="e">
        <f>AND(ConsolidatedEventList!H71,"AAAAAH6yv08=")</f>
        <v>#VALUE!</v>
      </c>
      <c r="CC24" t="e">
        <f>AND(ConsolidatedEventList!#REF!,"AAAAAH6yv1A=")</f>
        <v>#REF!</v>
      </c>
      <c r="CD24" t="e">
        <f>IF(ConsolidatedEventList!#REF!,"AAAAAH6yv1E=",0)</f>
        <v>#REF!</v>
      </c>
      <c r="CE24" t="e">
        <f>AND(ConsolidatedEventList!#REF!,"AAAAAH6yv1I=")</f>
        <v>#REF!</v>
      </c>
      <c r="CF24" t="e">
        <f>AND(ConsolidatedEventList!#REF!,"AAAAAH6yv1M=")</f>
        <v>#REF!</v>
      </c>
      <c r="CG24" t="e">
        <f>AND(ConsolidatedEventList!#REF!,"AAAAAH6yv1Q=")</f>
        <v>#REF!</v>
      </c>
      <c r="CH24" t="e">
        <f>AND(ConsolidatedEventList!#REF!,"AAAAAH6yv1U=")</f>
        <v>#REF!</v>
      </c>
      <c r="CI24" t="e">
        <f>AND(ConsolidatedEventList!#REF!,"AAAAAH6yv1Y=")</f>
        <v>#REF!</v>
      </c>
      <c r="CJ24" t="e">
        <f>AND(ConsolidatedEventList!#REF!,"AAAAAH6yv1c=")</f>
        <v>#REF!</v>
      </c>
      <c r="CK24" t="e">
        <f>AND(ConsolidatedEventList!#REF!,"AAAAAH6yv1g=")</f>
        <v>#REF!</v>
      </c>
      <c r="CL24" t="e">
        <f>AND(ConsolidatedEventList!#REF!,"AAAAAH6yv1k=")</f>
        <v>#REF!</v>
      </c>
      <c r="CM24" t="e">
        <f>AND(ConsolidatedEventList!#REF!,"AAAAAH6yv1o=")</f>
        <v>#REF!</v>
      </c>
      <c r="CN24" t="e">
        <f>IF(ConsolidatedEventList!#REF!,"AAAAAH6yv1s=",0)</f>
        <v>#REF!</v>
      </c>
      <c r="CO24" t="e">
        <f>AND(ConsolidatedEventList!#REF!,"AAAAAH6yv1w=")</f>
        <v>#REF!</v>
      </c>
      <c r="CP24" t="e">
        <f>AND(ConsolidatedEventList!#REF!,"AAAAAH6yv10=")</f>
        <v>#REF!</v>
      </c>
      <c r="CQ24" t="e">
        <f>AND(ConsolidatedEventList!#REF!,"AAAAAH6yv14=")</f>
        <v>#REF!</v>
      </c>
      <c r="CR24" t="e">
        <f>AND(ConsolidatedEventList!#REF!,"AAAAAH6yv18=")</f>
        <v>#REF!</v>
      </c>
      <c r="CS24" t="e">
        <f>AND(ConsolidatedEventList!#REF!,"AAAAAH6yv2A=")</f>
        <v>#REF!</v>
      </c>
      <c r="CT24" t="e">
        <f>AND(ConsolidatedEventList!#REF!,"AAAAAH6yv2E=")</f>
        <v>#REF!</v>
      </c>
      <c r="CU24" t="e">
        <f>AND(ConsolidatedEventList!#REF!,"AAAAAH6yv2I=")</f>
        <v>#REF!</v>
      </c>
      <c r="CV24" t="e">
        <f>AND(ConsolidatedEventList!#REF!,"AAAAAH6yv2M=")</f>
        <v>#REF!</v>
      </c>
      <c r="CW24" t="e">
        <f>AND(ConsolidatedEventList!#REF!,"AAAAAH6yv2Q=")</f>
        <v>#REF!</v>
      </c>
      <c r="CX24">
        <f>IF(ConsolidatedEventList!72:72,"AAAAAH6yv2U=",0)</f>
        <v>0</v>
      </c>
      <c r="CY24" t="b">
        <f>AND(ConsolidatedEventList!A72,"AAAAAH6yv2Y=")</f>
        <v>0</v>
      </c>
      <c r="CZ24" t="b">
        <f>AND(ConsolidatedEventList!B72,"AAAAAH6yv2c=")</f>
        <v>1</v>
      </c>
      <c r="DA24" t="e">
        <f>AND(ConsolidatedEventList!C72,"AAAAAH6yv2g=")</f>
        <v>#VALUE!</v>
      </c>
      <c r="DB24" t="b">
        <f>AND(ConsolidatedEventList!D72,"AAAAAH6yv2k=")</f>
        <v>1</v>
      </c>
      <c r="DC24" t="b">
        <f>AND(ConsolidatedEventList!E72,"AAAAAH6yv2o=")</f>
        <v>0</v>
      </c>
      <c r="DD24" t="e">
        <f>AND(ConsolidatedEventList!F72,"AAAAAH6yv2s=")</f>
        <v>#VALUE!</v>
      </c>
      <c r="DE24" t="e">
        <f>AND(ConsolidatedEventList!G72,"AAAAAH6yv2w=")</f>
        <v>#VALUE!</v>
      </c>
      <c r="DF24" t="e">
        <f>AND(ConsolidatedEventList!H72,"AAAAAH6yv20=")</f>
        <v>#VALUE!</v>
      </c>
      <c r="DG24" t="e">
        <f>AND(ConsolidatedEventList!#REF!,"AAAAAH6yv24=")</f>
        <v>#REF!</v>
      </c>
      <c r="DH24">
        <f>IF(ConsolidatedEventList!73:73,"AAAAAH6yv28=",0)</f>
        <v>0</v>
      </c>
      <c r="DI24" t="b">
        <f>AND(ConsolidatedEventList!A73,"AAAAAH6yv3A=")</f>
        <v>0</v>
      </c>
      <c r="DJ24" t="b">
        <f>AND(ConsolidatedEventList!B73,"AAAAAH6yv3E=")</f>
        <v>1</v>
      </c>
      <c r="DK24" t="e">
        <f>AND(ConsolidatedEventList!C73,"AAAAAH6yv3I=")</f>
        <v>#VALUE!</v>
      </c>
      <c r="DL24" t="b">
        <f>AND(ConsolidatedEventList!D73,"AAAAAH6yv3M=")</f>
        <v>1</v>
      </c>
      <c r="DM24" t="b">
        <f>AND(ConsolidatedEventList!E73,"AAAAAH6yv3Q=")</f>
        <v>0</v>
      </c>
      <c r="DN24" t="e">
        <f>AND(ConsolidatedEventList!F73,"AAAAAH6yv3U=")</f>
        <v>#VALUE!</v>
      </c>
      <c r="DO24" t="e">
        <f>AND(ConsolidatedEventList!G73,"AAAAAH6yv3Y=")</f>
        <v>#VALUE!</v>
      </c>
      <c r="DP24" t="e">
        <f>AND(ConsolidatedEventList!H73,"AAAAAH6yv3c=")</f>
        <v>#VALUE!</v>
      </c>
      <c r="DQ24" t="e">
        <f>AND(ConsolidatedEventList!#REF!,"AAAAAH6yv3g=")</f>
        <v>#REF!</v>
      </c>
      <c r="DR24">
        <f>IF(ConsolidatedEventList!74:74,"AAAAAH6yv3k=",0)</f>
        <v>0</v>
      </c>
      <c r="DS24" t="b">
        <f>AND(ConsolidatedEventList!A74,"AAAAAH6yv3o=")</f>
        <v>0</v>
      </c>
      <c r="DT24" t="b">
        <f>AND(ConsolidatedEventList!B74,"AAAAAH6yv3s=")</f>
        <v>1</v>
      </c>
      <c r="DU24" t="e">
        <f>AND(ConsolidatedEventList!C74,"AAAAAH6yv3w=")</f>
        <v>#VALUE!</v>
      </c>
      <c r="DV24" t="b">
        <f>AND(ConsolidatedEventList!D74,"AAAAAH6yv30=")</f>
        <v>1</v>
      </c>
      <c r="DW24" t="b">
        <f>AND(ConsolidatedEventList!E74,"AAAAAH6yv34=")</f>
        <v>0</v>
      </c>
      <c r="DX24" t="e">
        <f>AND(ConsolidatedEventList!F74,"AAAAAH6yv38=")</f>
        <v>#VALUE!</v>
      </c>
      <c r="DY24" t="e">
        <f>AND(ConsolidatedEventList!G74,"AAAAAH6yv4A=")</f>
        <v>#VALUE!</v>
      </c>
      <c r="DZ24" t="e">
        <f>AND(ConsolidatedEventList!H74,"AAAAAH6yv4E=")</f>
        <v>#VALUE!</v>
      </c>
      <c r="EA24" t="e">
        <f>AND(ConsolidatedEventList!#REF!,"AAAAAH6yv4I=")</f>
        <v>#REF!</v>
      </c>
      <c r="EB24">
        <f>IF(ConsolidatedEventList!75:75,"AAAAAH6yv4M=",0)</f>
        <v>0</v>
      </c>
      <c r="EC24" t="b">
        <f>AND(ConsolidatedEventList!A75,"AAAAAH6yv4Q=")</f>
        <v>0</v>
      </c>
      <c r="ED24" t="b">
        <f>AND(ConsolidatedEventList!B75,"AAAAAH6yv4U=")</f>
        <v>1</v>
      </c>
      <c r="EE24" t="e">
        <f>AND(ConsolidatedEventList!C75,"AAAAAH6yv4Y=")</f>
        <v>#VALUE!</v>
      </c>
      <c r="EF24" t="b">
        <f>AND(ConsolidatedEventList!D75,"AAAAAH6yv4c=")</f>
        <v>1</v>
      </c>
      <c r="EG24" t="b">
        <f>AND(ConsolidatedEventList!E75,"AAAAAH6yv4g=")</f>
        <v>0</v>
      </c>
      <c r="EH24" t="e">
        <f>AND(ConsolidatedEventList!F75,"AAAAAH6yv4k=")</f>
        <v>#VALUE!</v>
      </c>
      <c r="EI24" t="e">
        <f>AND(ConsolidatedEventList!G75,"AAAAAH6yv4o=")</f>
        <v>#VALUE!</v>
      </c>
      <c r="EJ24" t="e">
        <f>AND(ConsolidatedEventList!H75,"AAAAAH6yv4s=")</f>
        <v>#VALUE!</v>
      </c>
      <c r="EK24" t="e">
        <f>AND(ConsolidatedEventList!#REF!,"AAAAAH6yv4w=")</f>
        <v>#REF!</v>
      </c>
      <c r="EL24">
        <f>IF(ConsolidatedEventList!76:76,"AAAAAH6yv40=",0)</f>
        <v>0</v>
      </c>
      <c r="EM24" t="b">
        <f>AND(ConsolidatedEventList!A76,"AAAAAH6yv44=")</f>
        <v>0</v>
      </c>
      <c r="EN24" t="b">
        <f>AND(ConsolidatedEventList!B76,"AAAAAH6yv48=")</f>
        <v>1</v>
      </c>
      <c r="EO24" t="e">
        <f>AND(ConsolidatedEventList!C76,"AAAAAH6yv5A=")</f>
        <v>#VALUE!</v>
      </c>
      <c r="EP24" t="b">
        <f>AND(ConsolidatedEventList!D76,"AAAAAH6yv5E=")</f>
        <v>1</v>
      </c>
      <c r="EQ24" t="b">
        <f>AND(ConsolidatedEventList!E76,"AAAAAH6yv5I=")</f>
        <v>0</v>
      </c>
      <c r="ER24" t="e">
        <f>AND(ConsolidatedEventList!F76,"AAAAAH6yv5M=")</f>
        <v>#VALUE!</v>
      </c>
      <c r="ES24" t="e">
        <f>AND(ConsolidatedEventList!G76,"AAAAAH6yv5Q=")</f>
        <v>#VALUE!</v>
      </c>
      <c r="ET24" t="e">
        <f>AND(ConsolidatedEventList!H76,"AAAAAH6yv5U=")</f>
        <v>#VALUE!</v>
      </c>
      <c r="EU24" t="e">
        <f>AND(ConsolidatedEventList!#REF!,"AAAAAH6yv5Y=")</f>
        <v>#REF!</v>
      </c>
      <c r="EV24">
        <f>IF(ConsolidatedEventList!77:77,"AAAAAH6yv5c=",0)</f>
        <v>0</v>
      </c>
      <c r="EW24" t="b">
        <f>AND(ConsolidatedEventList!A77,"AAAAAH6yv5g=")</f>
        <v>0</v>
      </c>
      <c r="EX24" t="b">
        <f>AND(ConsolidatedEventList!B77,"AAAAAH6yv5k=")</f>
        <v>1</v>
      </c>
      <c r="EY24" t="e">
        <f>AND(ConsolidatedEventList!C77,"AAAAAH6yv5o=")</f>
        <v>#VALUE!</v>
      </c>
      <c r="EZ24" t="b">
        <f>AND(ConsolidatedEventList!D77,"AAAAAH6yv5s=")</f>
        <v>1</v>
      </c>
      <c r="FA24" t="b">
        <f>AND(ConsolidatedEventList!E77,"AAAAAH6yv5w=")</f>
        <v>0</v>
      </c>
      <c r="FB24" t="e">
        <f>AND(ConsolidatedEventList!F77,"AAAAAH6yv50=")</f>
        <v>#VALUE!</v>
      </c>
      <c r="FC24" t="e">
        <f>AND(ConsolidatedEventList!G77,"AAAAAH6yv54=")</f>
        <v>#VALUE!</v>
      </c>
      <c r="FD24" t="e">
        <f>AND(ConsolidatedEventList!H77,"AAAAAH6yv58=")</f>
        <v>#VALUE!</v>
      </c>
      <c r="FE24" t="e">
        <f>AND(ConsolidatedEventList!#REF!,"AAAAAH6yv6A=")</f>
        <v>#REF!</v>
      </c>
      <c r="FF24">
        <f>IF(ConsolidatedEventList!78:78,"AAAAAH6yv6E=",0)</f>
        <v>0</v>
      </c>
      <c r="FG24" t="b">
        <f>AND(ConsolidatedEventList!A78,"AAAAAH6yv6I=")</f>
        <v>0</v>
      </c>
      <c r="FH24" t="b">
        <f>AND(ConsolidatedEventList!B78,"AAAAAH6yv6M=")</f>
        <v>1</v>
      </c>
      <c r="FI24" t="e">
        <f>AND(ConsolidatedEventList!C78,"AAAAAH6yv6Q=")</f>
        <v>#VALUE!</v>
      </c>
      <c r="FJ24" t="b">
        <f>AND(ConsolidatedEventList!D78,"AAAAAH6yv6U=")</f>
        <v>1</v>
      </c>
      <c r="FK24" t="b">
        <f>AND(ConsolidatedEventList!E78,"AAAAAH6yv6Y=")</f>
        <v>0</v>
      </c>
      <c r="FL24" t="e">
        <f>AND(ConsolidatedEventList!F78,"AAAAAH6yv6c=")</f>
        <v>#VALUE!</v>
      </c>
      <c r="FM24" t="e">
        <f>AND(ConsolidatedEventList!G78,"AAAAAH6yv6g=")</f>
        <v>#VALUE!</v>
      </c>
      <c r="FN24" t="e">
        <f>AND(ConsolidatedEventList!H78,"AAAAAH6yv6k=")</f>
        <v>#VALUE!</v>
      </c>
      <c r="FO24" t="e">
        <f>AND(ConsolidatedEventList!#REF!,"AAAAAH6yv6o=")</f>
        <v>#REF!</v>
      </c>
      <c r="FP24">
        <f>IF(ConsolidatedEventList!79:79,"AAAAAH6yv6s=",0)</f>
        <v>0</v>
      </c>
      <c r="FQ24" t="b">
        <f>AND(ConsolidatedEventList!A79,"AAAAAH6yv6w=")</f>
        <v>0</v>
      </c>
      <c r="FR24" t="b">
        <f>AND(ConsolidatedEventList!B79,"AAAAAH6yv60=")</f>
        <v>1</v>
      </c>
      <c r="FS24" t="e">
        <f>AND(ConsolidatedEventList!C79,"AAAAAH6yv64=")</f>
        <v>#VALUE!</v>
      </c>
      <c r="FT24" t="b">
        <f>AND(ConsolidatedEventList!D79,"AAAAAH6yv68=")</f>
        <v>1</v>
      </c>
      <c r="FU24" t="b">
        <f>AND(ConsolidatedEventList!E79,"AAAAAH6yv7A=")</f>
        <v>0</v>
      </c>
      <c r="FV24" t="e">
        <f>AND(ConsolidatedEventList!F79,"AAAAAH6yv7E=")</f>
        <v>#VALUE!</v>
      </c>
      <c r="FW24" t="e">
        <f>AND(ConsolidatedEventList!G79,"AAAAAH6yv7I=")</f>
        <v>#VALUE!</v>
      </c>
      <c r="FX24" t="e">
        <f>AND(ConsolidatedEventList!H79,"AAAAAH6yv7M=")</f>
        <v>#VALUE!</v>
      </c>
      <c r="FY24" t="e">
        <f>AND(ConsolidatedEventList!#REF!,"AAAAAH6yv7Q=")</f>
        <v>#REF!</v>
      </c>
      <c r="FZ24">
        <f>IF(ConsolidatedEventList!80:80,"AAAAAH6yv7U=",0)</f>
        <v>0</v>
      </c>
      <c r="GA24" t="b">
        <f>AND(ConsolidatedEventList!A80,"AAAAAH6yv7Y=")</f>
        <v>0</v>
      </c>
      <c r="GB24" t="b">
        <f>AND(ConsolidatedEventList!B80,"AAAAAH6yv7c=")</f>
        <v>1</v>
      </c>
      <c r="GC24" t="e">
        <f>AND(ConsolidatedEventList!C80,"AAAAAH6yv7g=")</f>
        <v>#VALUE!</v>
      </c>
      <c r="GD24" t="b">
        <f>AND(ConsolidatedEventList!D80,"AAAAAH6yv7k=")</f>
        <v>1</v>
      </c>
      <c r="GE24" t="b">
        <f>AND(ConsolidatedEventList!E80,"AAAAAH6yv7o=")</f>
        <v>0</v>
      </c>
      <c r="GF24" t="e">
        <f>AND(ConsolidatedEventList!F80,"AAAAAH6yv7s=")</f>
        <v>#VALUE!</v>
      </c>
      <c r="GG24" t="e">
        <f>AND(ConsolidatedEventList!G80,"AAAAAH6yv7w=")</f>
        <v>#VALUE!</v>
      </c>
      <c r="GH24" t="e">
        <f>AND(ConsolidatedEventList!H80,"AAAAAH6yv70=")</f>
        <v>#VALUE!</v>
      </c>
      <c r="GI24" t="e">
        <f>AND(ConsolidatedEventList!#REF!,"AAAAAH6yv74=")</f>
        <v>#REF!</v>
      </c>
      <c r="GJ24">
        <f>IF(ConsolidatedEventList!81:81,"AAAAAH6yv78=",0)</f>
        <v>0</v>
      </c>
      <c r="GK24" t="b">
        <f>AND(ConsolidatedEventList!A81,"AAAAAH6yv8A=")</f>
        <v>0</v>
      </c>
      <c r="GL24" t="b">
        <f>AND(ConsolidatedEventList!B81,"AAAAAH6yv8E=")</f>
        <v>1</v>
      </c>
      <c r="GM24" t="e">
        <f>AND(ConsolidatedEventList!C81,"AAAAAH6yv8I=")</f>
        <v>#VALUE!</v>
      </c>
      <c r="GN24" t="b">
        <f>AND(ConsolidatedEventList!D81,"AAAAAH6yv8M=")</f>
        <v>1</v>
      </c>
      <c r="GO24" t="b">
        <f>AND(ConsolidatedEventList!E81,"AAAAAH6yv8Q=")</f>
        <v>0</v>
      </c>
      <c r="GP24" t="e">
        <f>AND(ConsolidatedEventList!F81,"AAAAAH6yv8U=")</f>
        <v>#VALUE!</v>
      </c>
      <c r="GQ24" t="e">
        <f>AND(ConsolidatedEventList!G81,"AAAAAH6yv8Y=")</f>
        <v>#VALUE!</v>
      </c>
      <c r="GR24" t="e">
        <f>AND(ConsolidatedEventList!H81,"AAAAAH6yv8c=")</f>
        <v>#VALUE!</v>
      </c>
      <c r="GS24" t="e">
        <f>AND(ConsolidatedEventList!#REF!,"AAAAAH6yv8g=")</f>
        <v>#REF!</v>
      </c>
      <c r="GT24">
        <f>IF(ConsolidatedEventList!82:82,"AAAAAH6yv8k=",0)</f>
        <v>0</v>
      </c>
      <c r="GU24" t="b">
        <f>AND(ConsolidatedEventList!A82,"AAAAAH6yv8o=")</f>
        <v>0</v>
      </c>
      <c r="GV24" t="b">
        <f>AND(ConsolidatedEventList!B82,"AAAAAH6yv8s=")</f>
        <v>1</v>
      </c>
      <c r="GW24" t="e">
        <f>AND(ConsolidatedEventList!C82,"AAAAAH6yv8w=")</f>
        <v>#VALUE!</v>
      </c>
      <c r="GX24" t="b">
        <f>AND(ConsolidatedEventList!D82,"AAAAAH6yv80=")</f>
        <v>1</v>
      </c>
      <c r="GY24" t="b">
        <f>AND(ConsolidatedEventList!E82,"AAAAAH6yv84=")</f>
        <v>0</v>
      </c>
      <c r="GZ24" t="e">
        <f>AND(ConsolidatedEventList!F82,"AAAAAH6yv88=")</f>
        <v>#VALUE!</v>
      </c>
      <c r="HA24" t="e">
        <f>AND(ConsolidatedEventList!G82,"AAAAAH6yv9A=")</f>
        <v>#VALUE!</v>
      </c>
      <c r="HB24" t="e">
        <f>AND(ConsolidatedEventList!H82,"AAAAAH6yv9E=")</f>
        <v>#VALUE!</v>
      </c>
      <c r="HC24" t="e">
        <f>AND(ConsolidatedEventList!#REF!,"AAAAAH6yv9I=")</f>
        <v>#REF!</v>
      </c>
      <c r="HD24">
        <f>IF(ConsolidatedEventList!83:83,"AAAAAH6yv9M=",0)</f>
        <v>0</v>
      </c>
      <c r="HE24" t="b">
        <f>AND(ConsolidatedEventList!A83,"AAAAAH6yv9Q=")</f>
        <v>0</v>
      </c>
      <c r="HF24" t="b">
        <f>AND(ConsolidatedEventList!B83,"AAAAAH6yv9U=")</f>
        <v>1</v>
      </c>
      <c r="HG24" t="e">
        <f>AND(ConsolidatedEventList!C83,"AAAAAH6yv9Y=")</f>
        <v>#VALUE!</v>
      </c>
      <c r="HH24" t="b">
        <f>AND(ConsolidatedEventList!D83,"AAAAAH6yv9c=")</f>
        <v>1</v>
      </c>
      <c r="HI24" t="b">
        <f>AND(ConsolidatedEventList!E83,"AAAAAH6yv9g=")</f>
        <v>0</v>
      </c>
      <c r="HJ24" t="e">
        <f>AND(ConsolidatedEventList!F83,"AAAAAH6yv9k=")</f>
        <v>#VALUE!</v>
      </c>
      <c r="HK24" t="e">
        <f>AND(ConsolidatedEventList!G83,"AAAAAH6yv9o=")</f>
        <v>#VALUE!</v>
      </c>
      <c r="HL24" t="e">
        <f>AND(ConsolidatedEventList!H83,"AAAAAH6yv9s=")</f>
        <v>#VALUE!</v>
      </c>
      <c r="HM24" t="e">
        <f>AND(ConsolidatedEventList!#REF!,"AAAAAH6yv9w=")</f>
        <v>#REF!</v>
      </c>
      <c r="HN24">
        <f>IF(ConsolidatedEventList!84:84,"AAAAAH6yv90=",0)</f>
        <v>0</v>
      </c>
      <c r="HO24" t="b">
        <f>AND(ConsolidatedEventList!A84,"AAAAAH6yv94=")</f>
        <v>0</v>
      </c>
      <c r="HP24" t="b">
        <f>AND(ConsolidatedEventList!B84,"AAAAAH6yv98=")</f>
        <v>1</v>
      </c>
      <c r="HQ24" t="e">
        <f>AND(ConsolidatedEventList!C84,"AAAAAH6yv+A=")</f>
        <v>#VALUE!</v>
      </c>
      <c r="HR24" t="b">
        <f>AND(ConsolidatedEventList!D84,"AAAAAH6yv+E=")</f>
        <v>1</v>
      </c>
      <c r="HS24" t="b">
        <f>AND(ConsolidatedEventList!E84,"AAAAAH6yv+I=")</f>
        <v>0</v>
      </c>
      <c r="HT24" t="e">
        <f>AND(ConsolidatedEventList!F84,"AAAAAH6yv+M=")</f>
        <v>#VALUE!</v>
      </c>
      <c r="HU24" t="e">
        <f>AND(ConsolidatedEventList!G84,"AAAAAH6yv+Q=")</f>
        <v>#VALUE!</v>
      </c>
      <c r="HV24" t="e">
        <f>AND(ConsolidatedEventList!H84,"AAAAAH6yv+U=")</f>
        <v>#VALUE!</v>
      </c>
      <c r="HW24" t="e">
        <f>AND(ConsolidatedEventList!#REF!,"AAAAAH6yv+Y=")</f>
        <v>#REF!</v>
      </c>
      <c r="HX24">
        <f>IF(ConsolidatedEventList!85:85,"AAAAAH6yv+c=",0)</f>
        <v>0</v>
      </c>
      <c r="HY24" t="b">
        <f>AND(ConsolidatedEventList!A85,"AAAAAH6yv+g=")</f>
        <v>0</v>
      </c>
      <c r="HZ24" t="b">
        <f>AND(ConsolidatedEventList!B85,"AAAAAH6yv+k=")</f>
        <v>1</v>
      </c>
      <c r="IA24" t="e">
        <f>AND(ConsolidatedEventList!C85,"AAAAAH6yv+o=")</f>
        <v>#VALUE!</v>
      </c>
      <c r="IB24" t="b">
        <f>AND(ConsolidatedEventList!D85,"AAAAAH6yv+s=")</f>
        <v>1</v>
      </c>
      <c r="IC24" t="b">
        <f>AND(ConsolidatedEventList!E85,"AAAAAH6yv+w=")</f>
        <v>0</v>
      </c>
      <c r="ID24" t="e">
        <f>AND(ConsolidatedEventList!F85,"AAAAAH6yv+0=")</f>
        <v>#VALUE!</v>
      </c>
      <c r="IE24" t="e">
        <f>AND(ConsolidatedEventList!G85,"AAAAAH6yv+4=")</f>
        <v>#VALUE!</v>
      </c>
      <c r="IF24" t="e">
        <f>AND(ConsolidatedEventList!H85,"AAAAAH6yv+8=")</f>
        <v>#VALUE!</v>
      </c>
      <c r="IG24" t="e">
        <f>AND(ConsolidatedEventList!#REF!,"AAAAAH6yv/A=")</f>
        <v>#REF!</v>
      </c>
      <c r="IH24">
        <f>IF(ConsolidatedEventList!86:86,"AAAAAH6yv/E=",0)</f>
        <v>0</v>
      </c>
      <c r="II24" t="b">
        <f>AND(ConsolidatedEventList!A86,"AAAAAH6yv/I=")</f>
        <v>0</v>
      </c>
      <c r="IJ24" t="b">
        <f>AND(ConsolidatedEventList!B86,"AAAAAH6yv/M=")</f>
        <v>1</v>
      </c>
      <c r="IK24" t="e">
        <f>AND(ConsolidatedEventList!C86,"AAAAAH6yv/Q=")</f>
        <v>#VALUE!</v>
      </c>
      <c r="IL24" t="b">
        <f>AND(ConsolidatedEventList!D86,"AAAAAH6yv/U=")</f>
        <v>1</v>
      </c>
      <c r="IM24" t="b">
        <f>AND(ConsolidatedEventList!E86,"AAAAAH6yv/Y=")</f>
        <v>0</v>
      </c>
      <c r="IN24" t="e">
        <f>AND(ConsolidatedEventList!F86,"AAAAAH6yv/c=")</f>
        <v>#VALUE!</v>
      </c>
      <c r="IO24" t="e">
        <f>AND(ConsolidatedEventList!G86,"AAAAAH6yv/g=")</f>
        <v>#VALUE!</v>
      </c>
      <c r="IP24" t="e">
        <f>AND(ConsolidatedEventList!H86,"AAAAAH6yv/k=")</f>
        <v>#VALUE!</v>
      </c>
      <c r="IQ24" t="e">
        <f>AND(ConsolidatedEventList!#REF!,"AAAAAH6yv/o=")</f>
        <v>#REF!</v>
      </c>
      <c r="IR24">
        <f>IF(ConsolidatedEventList!87:87,"AAAAAH6yv/s=",0)</f>
        <v>0</v>
      </c>
      <c r="IS24" t="b">
        <f>AND(ConsolidatedEventList!A87,"AAAAAH6yv/w=")</f>
        <v>0</v>
      </c>
      <c r="IT24" t="b">
        <f>AND(ConsolidatedEventList!B87,"AAAAAH6yv/0=")</f>
        <v>1</v>
      </c>
      <c r="IU24" t="e">
        <f>AND(ConsolidatedEventList!C87,"AAAAAH6yv/4=")</f>
        <v>#VALUE!</v>
      </c>
      <c r="IV24" t="b">
        <f>AND(ConsolidatedEventList!D87,"AAAAAH6yv/8=")</f>
        <v>1</v>
      </c>
    </row>
    <row r="25" spans="1:256" x14ac:dyDescent="0.25">
      <c r="A25" t="b">
        <f>AND(ConsolidatedEventList!E87,"AAAAACz3aQA=")</f>
        <v>0</v>
      </c>
      <c r="B25" t="e">
        <f>AND(ConsolidatedEventList!F87,"AAAAACz3aQE=")</f>
        <v>#VALUE!</v>
      </c>
      <c r="C25" t="e">
        <f>AND(ConsolidatedEventList!G87,"AAAAACz3aQI=")</f>
        <v>#VALUE!</v>
      </c>
      <c r="D25" t="e">
        <f>AND(ConsolidatedEventList!H87,"AAAAACz3aQM=")</f>
        <v>#VALUE!</v>
      </c>
      <c r="E25" t="e">
        <f>AND(ConsolidatedEventList!#REF!,"AAAAACz3aQQ=")</f>
        <v>#REF!</v>
      </c>
      <c r="F25">
        <f>IF(ConsolidatedEventList!88:88,"AAAAACz3aQU=",0)</f>
        <v>0</v>
      </c>
      <c r="G25" t="b">
        <f>AND(ConsolidatedEventList!A88,"AAAAACz3aQY=")</f>
        <v>0</v>
      </c>
      <c r="H25" t="b">
        <f>AND(ConsolidatedEventList!B88,"AAAAACz3aQc=")</f>
        <v>1</v>
      </c>
      <c r="I25" t="e">
        <f>AND(ConsolidatedEventList!C88,"AAAAACz3aQg=")</f>
        <v>#VALUE!</v>
      </c>
      <c r="J25" t="b">
        <f>AND(ConsolidatedEventList!D88,"AAAAACz3aQk=")</f>
        <v>1</v>
      </c>
      <c r="K25" t="b">
        <f>AND(ConsolidatedEventList!E88,"AAAAACz3aQo=")</f>
        <v>0</v>
      </c>
      <c r="L25" t="e">
        <f>AND(ConsolidatedEventList!F88,"AAAAACz3aQs=")</f>
        <v>#VALUE!</v>
      </c>
      <c r="M25" t="e">
        <f>AND(ConsolidatedEventList!G88,"AAAAACz3aQw=")</f>
        <v>#VALUE!</v>
      </c>
      <c r="N25" t="e">
        <f>AND(ConsolidatedEventList!H88,"AAAAACz3aQ0=")</f>
        <v>#VALUE!</v>
      </c>
      <c r="O25" t="e">
        <f>AND(ConsolidatedEventList!#REF!,"AAAAACz3aQ4=")</f>
        <v>#REF!</v>
      </c>
      <c r="P25">
        <f>IF(ConsolidatedEventList!89:89,"AAAAACz3aQ8=",0)</f>
        <v>0</v>
      </c>
      <c r="Q25" t="b">
        <f>AND(ConsolidatedEventList!A89,"AAAAACz3aRA=")</f>
        <v>0</v>
      </c>
      <c r="R25" t="b">
        <f>AND(ConsolidatedEventList!B89,"AAAAACz3aRE=")</f>
        <v>1</v>
      </c>
      <c r="S25" t="e">
        <f>AND(ConsolidatedEventList!C89,"AAAAACz3aRI=")</f>
        <v>#VALUE!</v>
      </c>
      <c r="T25" t="b">
        <f>AND(ConsolidatedEventList!D89,"AAAAACz3aRM=")</f>
        <v>1</v>
      </c>
      <c r="U25" t="b">
        <f>AND(ConsolidatedEventList!E89,"AAAAACz3aRQ=")</f>
        <v>0</v>
      </c>
      <c r="V25" t="e">
        <f>AND(ConsolidatedEventList!F89,"AAAAACz3aRU=")</f>
        <v>#VALUE!</v>
      </c>
      <c r="W25" t="e">
        <f>AND(ConsolidatedEventList!G89,"AAAAACz3aRY=")</f>
        <v>#VALUE!</v>
      </c>
      <c r="X25" t="e">
        <f>AND(ConsolidatedEventList!H89,"AAAAACz3aRc=")</f>
        <v>#VALUE!</v>
      </c>
      <c r="Y25" t="e">
        <f>AND(ConsolidatedEventList!#REF!,"AAAAACz3aRg=")</f>
        <v>#REF!</v>
      </c>
      <c r="Z25">
        <f>IF(ConsolidatedEventList!90:90,"AAAAACz3aRk=",0)</f>
        <v>0</v>
      </c>
      <c r="AA25" t="b">
        <f>AND(ConsolidatedEventList!A90,"AAAAACz3aRo=")</f>
        <v>0</v>
      </c>
      <c r="AB25" t="b">
        <f>AND(ConsolidatedEventList!B90,"AAAAACz3aRs=")</f>
        <v>1</v>
      </c>
      <c r="AC25" t="e">
        <f>AND(ConsolidatedEventList!C90,"AAAAACz3aRw=")</f>
        <v>#VALUE!</v>
      </c>
      <c r="AD25" t="b">
        <f>AND(ConsolidatedEventList!D90,"AAAAACz3aR0=")</f>
        <v>1</v>
      </c>
      <c r="AE25" t="b">
        <f>AND(ConsolidatedEventList!E90,"AAAAACz3aR4=")</f>
        <v>0</v>
      </c>
      <c r="AF25" t="e">
        <f>AND(ConsolidatedEventList!F90,"AAAAACz3aR8=")</f>
        <v>#VALUE!</v>
      </c>
      <c r="AG25" t="e">
        <f>AND(ConsolidatedEventList!G90,"AAAAACz3aSA=")</f>
        <v>#VALUE!</v>
      </c>
      <c r="AH25" t="e">
        <f>AND(ConsolidatedEventList!H90,"AAAAACz3aSE=")</f>
        <v>#VALUE!</v>
      </c>
      <c r="AI25" t="e">
        <f>AND(ConsolidatedEventList!#REF!,"AAAAACz3aSI=")</f>
        <v>#REF!</v>
      </c>
      <c r="AJ25">
        <f>IF(ConsolidatedEventList!91:91,"AAAAACz3aSM=",0)</f>
        <v>0</v>
      </c>
      <c r="AK25" t="b">
        <f>AND(ConsolidatedEventList!A91,"AAAAACz3aSQ=")</f>
        <v>0</v>
      </c>
      <c r="AL25" t="b">
        <f>AND(ConsolidatedEventList!B91,"AAAAACz3aSU=")</f>
        <v>1</v>
      </c>
      <c r="AM25" t="e">
        <f>AND(ConsolidatedEventList!C91,"AAAAACz3aSY=")</f>
        <v>#VALUE!</v>
      </c>
      <c r="AN25" t="b">
        <f>AND(ConsolidatedEventList!D91,"AAAAACz3aSc=")</f>
        <v>1</v>
      </c>
      <c r="AO25" t="b">
        <f>AND(ConsolidatedEventList!E91,"AAAAACz3aSg=")</f>
        <v>0</v>
      </c>
      <c r="AP25" t="e">
        <f>AND(ConsolidatedEventList!F91,"AAAAACz3aSk=")</f>
        <v>#VALUE!</v>
      </c>
      <c r="AQ25" t="e">
        <f>AND(ConsolidatedEventList!G91,"AAAAACz3aSo=")</f>
        <v>#VALUE!</v>
      </c>
      <c r="AR25" t="e">
        <f>AND(ConsolidatedEventList!H91,"AAAAACz3aSs=")</f>
        <v>#VALUE!</v>
      </c>
      <c r="AS25" t="e">
        <f>AND(ConsolidatedEventList!#REF!,"AAAAACz3aSw=")</f>
        <v>#REF!</v>
      </c>
      <c r="AT25" t="e">
        <f>IF(ConsolidatedEventList!#REF!,"AAAAACz3aS0=",0)</f>
        <v>#REF!</v>
      </c>
      <c r="AU25" t="e">
        <f>AND(ConsolidatedEventList!#REF!,"AAAAACz3aS4=")</f>
        <v>#REF!</v>
      </c>
      <c r="AV25" t="e">
        <f>AND(ConsolidatedEventList!#REF!,"AAAAACz3aS8=")</f>
        <v>#REF!</v>
      </c>
      <c r="AW25" t="e">
        <f>AND(ConsolidatedEventList!#REF!,"AAAAACz3aTA=")</f>
        <v>#REF!</v>
      </c>
      <c r="AX25" t="e">
        <f>AND(ConsolidatedEventList!#REF!,"AAAAACz3aTE=")</f>
        <v>#REF!</v>
      </c>
      <c r="AY25" t="e">
        <f>AND(ConsolidatedEventList!#REF!,"AAAAACz3aTI=")</f>
        <v>#REF!</v>
      </c>
      <c r="AZ25" t="e">
        <f>AND(ConsolidatedEventList!#REF!,"AAAAACz3aTM=")</f>
        <v>#REF!</v>
      </c>
      <c r="BA25" t="e">
        <f>AND(ConsolidatedEventList!#REF!,"AAAAACz3aTQ=")</f>
        <v>#REF!</v>
      </c>
      <c r="BB25" t="e">
        <f>AND(ConsolidatedEventList!#REF!,"AAAAACz3aTU=")</f>
        <v>#REF!</v>
      </c>
      <c r="BC25" t="e">
        <f>AND(ConsolidatedEventList!#REF!,"AAAAACz3aTY=")</f>
        <v>#REF!</v>
      </c>
      <c r="BD25" t="e">
        <f>IF(ConsolidatedEventList!#REF!,"AAAAACz3aTc=",0)</f>
        <v>#REF!</v>
      </c>
      <c r="BE25" t="e">
        <f>AND(ConsolidatedEventList!#REF!,"AAAAACz3aTg=")</f>
        <v>#REF!</v>
      </c>
      <c r="BF25" t="e">
        <f>AND(ConsolidatedEventList!#REF!,"AAAAACz3aTk=")</f>
        <v>#REF!</v>
      </c>
      <c r="BG25" t="e">
        <f>AND(ConsolidatedEventList!#REF!,"AAAAACz3aTo=")</f>
        <v>#REF!</v>
      </c>
      <c r="BH25" t="e">
        <f>AND(ConsolidatedEventList!#REF!,"AAAAACz3aTs=")</f>
        <v>#REF!</v>
      </c>
      <c r="BI25" t="e">
        <f>AND(ConsolidatedEventList!#REF!,"AAAAACz3aTw=")</f>
        <v>#REF!</v>
      </c>
      <c r="BJ25" t="e">
        <f>AND(ConsolidatedEventList!#REF!,"AAAAACz3aT0=")</f>
        <v>#REF!</v>
      </c>
      <c r="BK25" t="e">
        <f>AND(ConsolidatedEventList!#REF!,"AAAAACz3aT4=")</f>
        <v>#REF!</v>
      </c>
      <c r="BL25" t="e">
        <f>AND(ConsolidatedEventList!#REF!,"AAAAACz3aT8=")</f>
        <v>#REF!</v>
      </c>
      <c r="BM25" t="e">
        <f>AND(ConsolidatedEventList!#REF!,"AAAAACz3aUA=")</f>
        <v>#REF!</v>
      </c>
      <c r="BN25">
        <f>IF(ConsolidatedEventList!92:92,"AAAAACz3aUE=",0)</f>
        <v>0</v>
      </c>
      <c r="BO25" t="b">
        <f>AND(ConsolidatedEventList!A92,"AAAAACz3aUI=")</f>
        <v>0</v>
      </c>
      <c r="BP25" t="b">
        <f>AND(ConsolidatedEventList!B92,"AAAAACz3aUM=")</f>
        <v>1</v>
      </c>
      <c r="BQ25" t="e">
        <f>AND(ConsolidatedEventList!C92,"AAAAACz3aUQ=")</f>
        <v>#VALUE!</v>
      </c>
      <c r="BR25" t="b">
        <f>AND(ConsolidatedEventList!D92,"AAAAACz3aUU=")</f>
        <v>1</v>
      </c>
      <c r="BS25" t="b">
        <f>AND(ConsolidatedEventList!E92,"AAAAACz3aUY=")</f>
        <v>0</v>
      </c>
      <c r="BT25" t="e">
        <f>AND(ConsolidatedEventList!F92,"AAAAACz3aUc=")</f>
        <v>#VALUE!</v>
      </c>
      <c r="BU25" t="e">
        <f>AND(ConsolidatedEventList!G92,"AAAAACz3aUg=")</f>
        <v>#VALUE!</v>
      </c>
      <c r="BV25" t="e">
        <f>AND(ConsolidatedEventList!H92,"AAAAACz3aUk=")</f>
        <v>#VALUE!</v>
      </c>
      <c r="BW25" t="e">
        <f>AND(ConsolidatedEventList!#REF!,"AAAAACz3aUo=")</f>
        <v>#REF!</v>
      </c>
      <c r="BX25">
        <f>IF(ConsolidatedEventList!93:93,"AAAAACz3aUs=",0)</f>
        <v>0</v>
      </c>
      <c r="BY25" t="b">
        <f>AND(ConsolidatedEventList!A93,"AAAAACz3aUw=")</f>
        <v>0</v>
      </c>
      <c r="BZ25" t="b">
        <f>AND(ConsolidatedEventList!B93,"AAAAACz3aU0=")</f>
        <v>1</v>
      </c>
      <c r="CA25" t="e">
        <f>AND(ConsolidatedEventList!C93,"AAAAACz3aU4=")</f>
        <v>#VALUE!</v>
      </c>
      <c r="CB25" t="b">
        <f>AND(ConsolidatedEventList!D93,"AAAAACz3aU8=")</f>
        <v>1</v>
      </c>
      <c r="CC25" t="b">
        <f>AND(ConsolidatedEventList!E93,"AAAAACz3aVA=")</f>
        <v>0</v>
      </c>
      <c r="CD25" t="e">
        <f>AND(ConsolidatedEventList!F93,"AAAAACz3aVE=")</f>
        <v>#VALUE!</v>
      </c>
      <c r="CE25" t="e">
        <f>AND(ConsolidatedEventList!G93,"AAAAACz3aVI=")</f>
        <v>#VALUE!</v>
      </c>
      <c r="CF25" t="e">
        <f>AND(ConsolidatedEventList!H93,"AAAAACz3aVM=")</f>
        <v>#VALUE!</v>
      </c>
      <c r="CG25" t="e">
        <f>AND(ConsolidatedEventList!#REF!,"AAAAACz3aVQ=")</f>
        <v>#REF!</v>
      </c>
      <c r="CH25">
        <f>IF(ConsolidatedEventList!94:94,"AAAAACz3aVU=",0)</f>
        <v>0</v>
      </c>
      <c r="CI25" t="b">
        <f>AND(ConsolidatedEventList!A94,"AAAAACz3aVY=")</f>
        <v>0</v>
      </c>
      <c r="CJ25" t="b">
        <f>AND(ConsolidatedEventList!B94,"AAAAACz3aVc=")</f>
        <v>1</v>
      </c>
      <c r="CK25" t="e">
        <f>AND(ConsolidatedEventList!C94,"AAAAACz3aVg=")</f>
        <v>#VALUE!</v>
      </c>
      <c r="CL25" t="b">
        <f>AND(ConsolidatedEventList!D94,"AAAAACz3aVk=")</f>
        <v>1</v>
      </c>
      <c r="CM25" t="b">
        <f>AND(ConsolidatedEventList!E94,"AAAAACz3aVo=")</f>
        <v>0</v>
      </c>
      <c r="CN25" t="e">
        <f>AND(ConsolidatedEventList!F94,"AAAAACz3aVs=")</f>
        <v>#VALUE!</v>
      </c>
      <c r="CO25" t="e">
        <f>AND(ConsolidatedEventList!G94,"AAAAACz3aVw=")</f>
        <v>#VALUE!</v>
      </c>
      <c r="CP25" t="e">
        <f>AND(ConsolidatedEventList!H94,"AAAAACz3aV0=")</f>
        <v>#VALUE!</v>
      </c>
      <c r="CQ25" t="e">
        <f>AND(ConsolidatedEventList!#REF!,"AAAAACz3aV4=")</f>
        <v>#REF!</v>
      </c>
      <c r="CR25">
        <f>IF(ConsolidatedEventList!95:95,"AAAAACz3aV8=",0)</f>
        <v>0</v>
      </c>
      <c r="CS25" t="b">
        <f>AND(ConsolidatedEventList!A95,"AAAAACz3aWA=")</f>
        <v>0</v>
      </c>
      <c r="CT25" t="b">
        <f>AND(ConsolidatedEventList!B95,"AAAAACz3aWE=")</f>
        <v>1</v>
      </c>
      <c r="CU25" t="e">
        <f>AND(ConsolidatedEventList!C95,"AAAAACz3aWI=")</f>
        <v>#VALUE!</v>
      </c>
      <c r="CV25" t="b">
        <f>AND(ConsolidatedEventList!D95,"AAAAACz3aWM=")</f>
        <v>1</v>
      </c>
      <c r="CW25" t="b">
        <f>AND(ConsolidatedEventList!E95,"AAAAACz3aWQ=")</f>
        <v>0</v>
      </c>
      <c r="CX25" t="e">
        <f>AND(ConsolidatedEventList!F95,"AAAAACz3aWU=")</f>
        <v>#VALUE!</v>
      </c>
      <c r="CY25" t="e">
        <f>AND(ConsolidatedEventList!G95,"AAAAACz3aWY=")</f>
        <v>#VALUE!</v>
      </c>
      <c r="CZ25" t="e">
        <f>AND(ConsolidatedEventList!H95,"AAAAACz3aWc=")</f>
        <v>#VALUE!</v>
      </c>
      <c r="DA25" t="e">
        <f>AND(ConsolidatedEventList!#REF!,"AAAAACz3aWg=")</f>
        <v>#REF!</v>
      </c>
      <c r="DB25">
        <f>IF(ConsolidatedEventList!96:96,"AAAAACz3aWk=",0)</f>
        <v>0</v>
      </c>
      <c r="DC25" t="b">
        <f>AND(ConsolidatedEventList!A96,"AAAAACz3aWo=")</f>
        <v>0</v>
      </c>
      <c r="DD25" t="b">
        <f>AND(ConsolidatedEventList!B96,"AAAAACz3aWs=")</f>
        <v>1</v>
      </c>
      <c r="DE25" t="e">
        <f>AND(ConsolidatedEventList!C96,"AAAAACz3aWw=")</f>
        <v>#VALUE!</v>
      </c>
      <c r="DF25" t="b">
        <f>AND(ConsolidatedEventList!D96,"AAAAACz3aW0=")</f>
        <v>1</v>
      </c>
      <c r="DG25" t="b">
        <f>AND(ConsolidatedEventList!E96,"AAAAACz3aW4=")</f>
        <v>0</v>
      </c>
      <c r="DH25" t="e">
        <f>AND(ConsolidatedEventList!F96,"AAAAACz3aW8=")</f>
        <v>#VALUE!</v>
      </c>
      <c r="DI25" t="e">
        <f>AND(ConsolidatedEventList!G96,"AAAAACz3aXA=")</f>
        <v>#VALUE!</v>
      </c>
      <c r="DJ25" t="e">
        <f>AND(ConsolidatedEventList!H96,"AAAAACz3aXE=")</f>
        <v>#VALUE!</v>
      </c>
      <c r="DK25" t="e">
        <f>AND(ConsolidatedEventList!#REF!,"AAAAACz3aXI=")</f>
        <v>#REF!</v>
      </c>
      <c r="DL25">
        <f>IF(ConsolidatedEventList!97:97,"AAAAACz3aXM=",0)</f>
        <v>0</v>
      </c>
      <c r="DM25" t="b">
        <f>AND(ConsolidatedEventList!A97,"AAAAACz3aXQ=")</f>
        <v>0</v>
      </c>
      <c r="DN25" t="b">
        <f>AND(ConsolidatedEventList!B97,"AAAAACz3aXU=")</f>
        <v>1</v>
      </c>
      <c r="DO25" t="e">
        <f>AND(ConsolidatedEventList!C97,"AAAAACz3aXY=")</f>
        <v>#VALUE!</v>
      </c>
      <c r="DP25" t="b">
        <f>AND(ConsolidatedEventList!D97,"AAAAACz3aXc=")</f>
        <v>1</v>
      </c>
      <c r="DQ25" t="b">
        <f>AND(ConsolidatedEventList!E97,"AAAAACz3aXg=")</f>
        <v>0</v>
      </c>
      <c r="DR25" t="e">
        <f>AND(ConsolidatedEventList!F97,"AAAAACz3aXk=")</f>
        <v>#VALUE!</v>
      </c>
      <c r="DS25" t="e">
        <f>AND(ConsolidatedEventList!G97,"AAAAACz3aXo=")</f>
        <v>#VALUE!</v>
      </c>
      <c r="DT25" t="e">
        <f>AND(ConsolidatedEventList!H97,"AAAAACz3aXs=")</f>
        <v>#VALUE!</v>
      </c>
      <c r="DU25" t="e">
        <f>AND(ConsolidatedEventList!#REF!,"AAAAACz3aXw=")</f>
        <v>#REF!</v>
      </c>
      <c r="DV25">
        <f>IF(ConsolidatedEventList!98:98,"AAAAACz3aX0=",0)</f>
        <v>0</v>
      </c>
      <c r="DW25" t="b">
        <f>AND(ConsolidatedEventList!A98,"AAAAACz3aX4=")</f>
        <v>0</v>
      </c>
      <c r="DX25" t="b">
        <f>AND(ConsolidatedEventList!B98,"AAAAACz3aX8=")</f>
        <v>1</v>
      </c>
      <c r="DY25" t="e">
        <f>AND(ConsolidatedEventList!C98,"AAAAACz3aYA=")</f>
        <v>#VALUE!</v>
      </c>
      <c r="DZ25" t="b">
        <f>AND(ConsolidatedEventList!D98,"AAAAACz3aYE=")</f>
        <v>1</v>
      </c>
      <c r="EA25" t="b">
        <f>AND(ConsolidatedEventList!E98,"AAAAACz3aYI=")</f>
        <v>0</v>
      </c>
      <c r="EB25" t="e">
        <f>AND(ConsolidatedEventList!F98,"AAAAACz3aYM=")</f>
        <v>#VALUE!</v>
      </c>
      <c r="EC25" t="e">
        <f>AND(ConsolidatedEventList!G98,"AAAAACz3aYQ=")</f>
        <v>#VALUE!</v>
      </c>
      <c r="ED25" t="e">
        <f>AND(ConsolidatedEventList!H98,"AAAAACz3aYU=")</f>
        <v>#VALUE!</v>
      </c>
      <c r="EE25" t="e">
        <f>AND(ConsolidatedEventList!#REF!,"AAAAACz3aYY=")</f>
        <v>#REF!</v>
      </c>
      <c r="EF25">
        <f>IF(ConsolidatedEventList!99:99,"AAAAACz3aYc=",0)</f>
        <v>0</v>
      </c>
      <c r="EG25" t="b">
        <f>AND(ConsolidatedEventList!A99,"AAAAACz3aYg=")</f>
        <v>0</v>
      </c>
      <c r="EH25" t="b">
        <f>AND(ConsolidatedEventList!B99,"AAAAACz3aYk=")</f>
        <v>1</v>
      </c>
      <c r="EI25" t="e">
        <f>AND(ConsolidatedEventList!C99,"AAAAACz3aYo=")</f>
        <v>#VALUE!</v>
      </c>
      <c r="EJ25" t="b">
        <f>AND(ConsolidatedEventList!D99,"AAAAACz3aYs=")</f>
        <v>1</v>
      </c>
      <c r="EK25" t="b">
        <f>AND(ConsolidatedEventList!E99,"AAAAACz3aYw=")</f>
        <v>0</v>
      </c>
      <c r="EL25" t="e">
        <f>AND(ConsolidatedEventList!F99,"AAAAACz3aY0=")</f>
        <v>#VALUE!</v>
      </c>
      <c r="EM25" t="e">
        <f>AND(ConsolidatedEventList!G99,"AAAAACz3aY4=")</f>
        <v>#VALUE!</v>
      </c>
      <c r="EN25" t="e">
        <f>AND(ConsolidatedEventList!H99,"AAAAACz3aY8=")</f>
        <v>#VALUE!</v>
      </c>
      <c r="EO25" t="e">
        <f>AND(ConsolidatedEventList!#REF!,"AAAAACz3aZA=")</f>
        <v>#REF!</v>
      </c>
      <c r="EP25">
        <f>IF(ConsolidatedEventList!100:100,"AAAAACz3aZE=",0)</f>
        <v>0</v>
      </c>
      <c r="EQ25" t="b">
        <f>AND(ConsolidatedEventList!A100,"AAAAACz3aZI=")</f>
        <v>0</v>
      </c>
      <c r="ER25" t="b">
        <f>AND(ConsolidatedEventList!B100,"AAAAACz3aZM=")</f>
        <v>1</v>
      </c>
      <c r="ES25" t="e">
        <f>AND(ConsolidatedEventList!C100,"AAAAACz3aZQ=")</f>
        <v>#VALUE!</v>
      </c>
      <c r="ET25" t="b">
        <f>AND(ConsolidatedEventList!D100,"AAAAACz3aZU=")</f>
        <v>1</v>
      </c>
      <c r="EU25" t="b">
        <f>AND(ConsolidatedEventList!E100,"AAAAACz3aZY=")</f>
        <v>0</v>
      </c>
      <c r="EV25" t="e">
        <f>AND(ConsolidatedEventList!F100,"AAAAACz3aZc=")</f>
        <v>#VALUE!</v>
      </c>
      <c r="EW25" t="e">
        <f>AND(ConsolidatedEventList!G100,"AAAAACz3aZg=")</f>
        <v>#VALUE!</v>
      </c>
      <c r="EX25" t="e">
        <f>AND(ConsolidatedEventList!H100,"AAAAACz3aZk=")</f>
        <v>#VALUE!</v>
      </c>
      <c r="EY25" t="e">
        <f>AND(ConsolidatedEventList!#REF!,"AAAAACz3aZo=")</f>
        <v>#REF!</v>
      </c>
      <c r="EZ25">
        <f>IF(ConsolidatedEventList!101:101,"AAAAACz3aZs=",0)</f>
        <v>0</v>
      </c>
      <c r="FA25" t="b">
        <f>AND(ConsolidatedEventList!A101,"AAAAACz3aZw=")</f>
        <v>0</v>
      </c>
      <c r="FB25" t="b">
        <f>AND(ConsolidatedEventList!B101,"AAAAACz3aZ0=")</f>
        <v>1</v>
      </c>
      <c r="FC25" t="e">
        <f>AND(ConsolidatedEventList!C101,"AAAAACz3aZ4=")</f>
        <v>#VALUE!</v>
      </c>
      <c r="FD25" t="b">
        <f>AND(ConsolidatedEventList!D101,"AAAAACz3aZ8=")</f>
        <v>1</v>
      </c>
      <c r="FE25" t="b">
        <f>AND(ConsolidatedEventList!E101,"AAAAACz3aaA=")</f>
        <v>0</v>
      </c>
      <c r="FF25" t="e">
        <f>AND(ConsolidatedEventList!F101,"AAAAACz3aaE=")</f>
        <v>#VALUE!</v>
      </c>
      <c r="FG25" t="e">
        <f>AND(ConsolidatedEventList!G101,"AAAAACz3aaI=")</f>
        <v>#VALUE!</v>
      </c>
      <c r="FH25" t="e">
        <f>AND(ConsolidatedEventList!H101,"AAAAACz3aaM=")</f>
        <v>#VALUE!</v>
      </c>
      <c r="FI25" t="e">
        <f>AND(ConsolidatedEventList!#REF!,"AAAAACz3aaQ=")</f>
        <v>#REF!</v>
      </c>
      <c r="FJ25">
        <f>IF(ConsolidatedEventList!102:102,"AAAAACz3aaU=",0)</f>
        <v>0</v>
      </c>
      <c r="FK25" t="b">
        <f>AND(ConsolidatedEventList!A102,"AAAAACz3aaY=")</f>
        <v>0</v>
      </c>
      <c r="FL25" t="b">
        <f>AND(ConsolidatedEventList!B102,"AAAAACz3aac=")</f>
        <v>1</v>
      </c>
      <c r="FM25" t="e">
        <f>AND(ConsolidatedEventList!C102,"AAAAACz3aag=")</f>
        <v>#VALUE!</v>
      </c>
      <c r="FN25" t="b">
        <f>AND(ConsolidatedEventList!D102,"AAAAACz3aak=")</f>
        <v>1</v>
      </c>
      <c r="FO25" t="b">
        <f>AND(ConsolidatedEventList!E102,"AAAAACz3aao=")</f>
        <v>0</v>
      </c>
      <c r="FP25" t="e">
        <f>AND(ConsolidatedEventList!F102,"AAAAACz3aas=")</f>
        <v>#VALUE!</v>
      </c>
      <c r="FQ25" t="e">
        <f>AND(ConsolidatedEventList!G102,"AAAAACz3aaw=")</f>
        <v>#VALUE!</v>
      </c>
      <c r="FR25" t="e">
        <f>AND(ConsolidatedEventList!H102,"AAAAACz3aa0=")</f>
        <v>#VALUE!</v>
      </c>
      <c r="FS25" t="e">
        <f>AND(ConsolidatedEventList!#REF!,"AAAAACz3aa4=")</f>
        <v>#REF!</v>
      </c>
      <c r="FT25">
        <f>IF(ConsolidatedEventList!103:103,"AAAAACz3aa8=",0)</f>
        <v>0</v>
      </c>
      <c r="FU25" t="b">
        <f>AND(ConsolidatedEventList!A103,"AAAAACz3abA=")</f>
        <v>0</v>
      </c>
      <c r="FV25" t="b">
        <f>AND(ConsolidatedEventList!B103,"AAAAACz3abE=")</f>
        <v>1</v>
      </c>
      <c r="FW25" t="e">
        <f>AND(ConsolidatedEventList!C103,"AAAAACz3abI=")</f>
        <v>#VALUE!</v>
      </c>
      <c r="FX25" t="b">
        <f>AND(ConsolidatedEventList!D103,"AAAAACz3abM=")</f>
        <v>1</v>
      </c>
      <c r="FY25" t="b">
        <f>AND(ConsolidatedEventList!E103,"AAAAACz3abQ=")</f>
        <v>0</v>
      </c>
      <c r="FZ25" t="e">
        <f>AND(ConsolidatedEventList!F103,"AAAAACz3abU=")</f>
        <v>#VALUE!</v>
      </c>
      <c r="GA25" t="e">
        <f>AND(ConsolidatedEventList!G103,"AAAAACz3abY=")</f>
        <v>#VALUE!</v>
      </c>
      <c r="GB25" t="e">
        <f>AND(ConsolidatedEventList!H103,"AAAAACz3abc=")</f>
        <v>#VALUE!</v>
      </c>
      <c r="GC25" t="e">
        <f>AND(ConsolidatedEventList!#REF!,"AAAAACz3abg=")</f>
        <v>#REF!</v>
      </c>
      <c r="GD25">
        <f>IF(ConsolidatedEventList!104:104,"AAAAACz3abk=",0)</f>
        <v>0</v>
      </c>
      <c r="GE25" t="b">
        <f>AND(ConsolidatedEventList!A104,"AAAAACz3abo=")</f>
        <v>0</v>
      </c>
      <c r="GF25" t="b">
        <f>AND(ConsolidatedEventList!B104,"AAAAACz3abs=")</f>
        <v>1</v>
      </c>
      <c r="GG25" t="e">
        <f>AND(ConsolidatedEventList!C104,"AAAAACz3abw=")</f>
        <v>#VALUE!</v>
      </c>
      <c r="GH25" t="b">
        <f>AND(ConsolidatedEventList!D104,"AAAAACz3ab0=")</f>
        <v>1</v>
      </c>
      <c r="GI25" t="b">
        <f>AND(ConsolidatedEventList!E104,"AAAAACz3ab4=")</f>
        <v>0</v>
      </c>
      <c r="GJ25" t="e">
        <f>AND(ConsolidatedEventList!F104,"AAAAACz3ab8=")</f>
        <v>#VALUE!</v>
      </c>
      <c r="GK25" t="e">
        <f>AND(ConsolidatedEventList!G104,"AAAAACz3acA=")</f>
        <v>#VALUE!</v>
      </c>
      <c r="GL25" t="e">
        <f>AND(ConsolidatedEventList!H104,"AAAAACz3acE=")</f>
        <v>#VALUE!</v>
      </c>
      <c r="GM25" t="e">
        <f>AND(ConsolidatedEventList!#REF!,"AAAAACz3acI=")</f>
        <v>#REF!</v>
      </c>
      <c r="GN25">
        <f>IF(ConsolidatedEventList!105:105,"AAAAACz3acM=",0)</f>
        <v>0</v>
      </c>
      <c r="GO25" t="b">
        <f>AND(ConsolidatedEventList!A105,"AAAAACz3acQ=")</f>
        <v>0</v>
      </c>
      <c r="GP25" t="b">
        <f>AND(ConsolidatedEventList!B105,"AAAAACz3acU=")</f>
        <v>1</v>
      </c>
      <c r="GQ25" t="e">
        <f>AND(ConsolidatedEventList!C105,"AAAAACz3acY=")</f>
        <v>#VALUE!</v>
      </c>
      <c r="GR25" t="b">
        <f>AND(ConsolidatedEventList!D105,"AAAAACz3acc=")</f>
        <v>1</v>
      </c>
      <c r="GS25" t="b">
        <f>AND(ConsolidatedEventList!E105,"AAAAACz3acg=")</f>
        <v>0</v>
      </c>
      <c r="GT25" t="e">
        <f>AND(ConsolidatedEventList!F105,"AAAAACz3ack=")</f>
        <v>#VALUE!</v>
      </c>
      <c r="GU25" t="e">
        <f>AND(ConsolidatedEventList!G105,"AAAAACz3aco=")</f>
        <v>#VALUE!</v>
      </c>
      <c r="GV25" t="e">
        <f>AND(ConsolidatedEventList!H105,"AAAAACz3acs=")</f>
        <v>#VALUE!</v>
      </c>
      <c r="GW25" t="e">
        <f>AND(ConsolidatedEventList!#REF!,"AAAAACz3acw=")</f>
        <v>#REF!</v>
      </c>
      <c r="GX25">
        <f>IF(ConsolidatedEventList!106:106,"AAAAACz3ac0=",0)</f>
        <v>0</v>
      </c>
      <c r="GY25" t="b">
        <f>AND(ConsolidatedEventList!A106,"AAAAACz3ac4=")</f>
        <v>0</v>
      </c>
      <c r="GZ25" t="b">
        <f>AND(ConsolidatedEventList!B106,"AAAAACz3ac8=")</f>
        <v>1</v>
      </c>
      <c r="HA25" t="e">
        <f>AND(ConsolidatedEventList!C106,"AAAAACz3adA=")</f>
        <v>#VALUE!</v>
      </c>
      <c r="HB25" t="b">
        <f>AND(ConsolidatedEventList!D106,"AAAAACz3adE=")</f>
        <v>1</v>
      </c>
      <c r="HC25" t="b">
        <f>AND(ConsolidatedEventList!E106,"AAAAACz3adI=")</f>
        <v>0</v>
      </c>
      <c r="HD25" t="e">
        <f>AND(ConsolidatedEventList!F106,"AAAAACz3adM=")</f>
        <v>#VALUE!</v>
      </c>
      <c r="HE25" t="e">
        <f>AND(ConsolidatedEventList!G106,"AAAAACz3adQ=")</f>
        <v>#VALUE!</v>
      </c>
      <c r="HF25" t="e">
        <f>AND(ConsolidatedEventList!H106,"AAAAACz3adU=")</f>
        <v>#VALUE!</v>
      </c>
      <c r="HG25" t="e">
        <f>AND(ConsolidatedEventList!#REF!,"AAAAACz3adY=")</f>
        <v>#REF!</v>
      </c>
      <c r="HH25">
        <f>IF(ConsolidatedEventList!107:107,"AAAAACz3adc=",0)</f>
        <v>0</v>
      </c>
      <c r="HI25" t="b">
        <f>AND(ConsolidatedEventList!A107,"AAAAACz3adg=")</f>
        <v>0</v>
      </c>
      <c r="HJ25" t="b">
        <f>AND(ConsolidatedEventList!B107,"AAAAACz3adk=")</f>
        <v>1</v>
      </c>
      <c r="HK25" t="e">
        <f>AND(ConsolidatedEventList!C107,"AAAAACz3ado=")</f>
        <v>#VALUE!</v>
      </c>
      <c r="HL25" t="b">
        <f>AND(ConsolidatedEventList!D107,"AAAAACz3ads=")</f>
        <v>1</v>
      </c>
      <c r="HM25" t="b">
        <f>AND(ConsolidatedEventList!E107,"AAAAACz3adw=")</f>
        <v>0</v>
      </c>
      <c r="HN25" t="e">
        <f>AND(ConsolidatedEventList!F107,"AAAAACz3ad0=")</f>
        <v>#VALUE!</v>
      </c>
      <c r="HO25" t="e">
        <f>AND(ConsolidatedEventList!G107,"AAAAACz3ad4=")</f>
        <v>#VALUE!</v>
      </c>
      <c r="HP25" t="e">
        <f>AND(ConsolidatedEventList!H107,"AAAAACz3ad8=")</f>
        <v>#VALUE!</v>
      </c>
      <c r="HQ25" t="e">
        <f>AND(ConsolidatedEventList!#REF!,"AAAAACz3aeA=")</f>
        <v>#REF!</v>
      </c>
      <c r="HR25">
        <f>IF(ConsolidatedEventList!108:108,"AAAAACz3aeE=",0)</f>
        <v>0</v>
      </c>
      <c r="HS25" t="b">
        <f>AND(ConsolidatedEventList!A108,"AAAAACz3aeI=")</f>
        <v>0</v>
      </c>
      <c r="HT25" t="b">
        <f>AND(ConsolidatedEventList!B108,"AAAAACz3aeM=")</f>
        <v>1</v>
      </c>
      <c r="HU25" t="e">
        <f>AND(ConsolidatedEventList!C108,"AAAAACz3aeQ=")</f>
        <v>#VALUE!</v>
      </c>
      <c r="HV25" t="b">
        <f>AND(ConsolidatedEventList!D108,"AAAAACz3aeU=")</f>
        <v>1</v>
      </c>
      <c r="HW25" t="b">
        <f>AND(ConsolidatedEventList!E108,"AAAAACz3aeY=")</f>
        <v>0</v>
      </c>
      <c r="HX25" t="e">
        <f>AND(ConsolidatedEventList!F108,"AAAAACz3aec=")</f>
        <v>#VALUE!</v>
      </c>
      <c r="HY25" t="e">
        <f>AND(ConsolidatedEventList!G108,"AAAAACz3aeg=")</f>
        <v>#VALUE!</v>
      </c>
      <c r="HZ25" t="e">
        <f>AND(ConsolidatedEventList!H108,"AAAAACz3aek=")</f>
        <v>#VALUE!</v>
      </c>
      <c r="IA25" t="e">
        <f>AND(ConsolidatedEventList!#REF!,"AAAAACz3aeo=")</f>
        <v>#REF!</v>
      </c>
      <c r="IB25">
        <f>IF(ConsolidatedEventList!109:109,"AAAAACz3aes=",0)</f>
        <v>0</v>
      </c>
      <c r="IC25" t="b">
        <f>AND(ConsolidatedEventList!A109,"AAAAACz3aew=")</f>
        <v>0</v>
      </c>
      <c r="ID25" t="b">
        <f>AND(ConsolidatedEventList!B109,"AAAAACz3ae0=")</f>
        <v>1</v>
      </c>
      <c r="IE25" t="e">
        <f>AND(ConsolidatedEventList!C109,"AAAAACz3ae4=")</f>
        <v>#VALUE!</v>
      </c>
      <c r="IF25" t="b">
        <f>AND(ConsolidatedEventList!D109,"AAAAACz3ae8=")</f>
        <v>1</v>
      </c>
      <c r="IG25" t="b">
        <f>AND(ConsolidatedEventList!E109,"AAAAACz3afA=")</f>
        <v>0</v>
      </c>
      <c r="IH25" t="e">
        <f>AND(ConsolidatedEventList!F109,"AAAAACz3afE=")</f>
        <v>#VALUE!</v>
      </c>
      <c r="II25" t="e">
        <f>AND(ConsolidatedEventList!G109,"AAAAACz3afI=")</f>
        <v>#VALUE!</v>
      </c>
      <c r="IJ25" t="e">
        <f>AND(ConsolidatedEventList!H109,"AAAAACz3afM=")</f>
        <v>#VALUE!</v>
      </c>
      <c r="IK25" t="e">
        <f>AND(ConsolidatedEventList!#REF!,"AAAAACz3afQ=")</f>
        <v>#REF!</v>
      </c>
      <c r="IL25">
        <f>IF(ConsolidatedEventList!110:110,"AAAAACz3afU=",0)</f>
        <v>0</v>
      </c>
      <c r="IM25" t="b">
        <f>AND(ConsolidatedEventList!A110,"AAAAACz3afY=")</f>
        <v>0</v>
      </c>
      <c r="IN25" t="b">
        <f>AND(ConsolidatedEventList!B110,"AAAAACz3afc=")</f>
        <v>1</v>
      </c>
      <c r="IO25" t="e">
        <f>AND(ConsolidatedEventList!C110,"AAAAACz3afg=")</f>
        <v>#VALUE!</v>
      </c>
      <c r="IP25" t="b">
        <f>AND(ConsolidatedEventList!D110,"AAAAACz3afk=")</f>
        <v>1</v>
      </c>
      <c r="IQ25" t="b">
        <f>AND(ConsolidatedEventList!E110,"AAAAACz3afo=")</f>
        <v>0</v>
      </c>
      <c r="IR25" t="e">
        <f>AND(ConsolidatedEventList!F110,"AAAAACz3afs=")</f>
        <v>#VALUE!</v>
      </c>
      <c r="IS25" t="e">
        <f>AND(ConsolidatedEventList!G110,"AAAAACz3afw=")</f>
        <v>#VALUE!</v>
      </c>
      <c r="IT25" t="e">
        <f>AND(ConsolidatedEventList!H110,"AAAAACz3af0=")</f>
        <v>#VALUE!</v>
      </c>
      <c r="IU25" t="e">
        <f>AND(ConsolidatedEventList!#REF!,"AAAAACz3af4=")</f>
        <v>#REF!</v>
      </c>
      <c r="IV25">
        <f>IF(ConsolidatedEventList!111:111,"AAAAACz3af8=",0)</f>
        <v>0</v>
      </c>
    </row>
    <row r="26" spans="1:256" x14ac:dyDescent="0.25">
      <c r="A26" t="b">
        <f>AND(ConsolidatedEventList!A111,"AAAAABz6EwA=")</f>
        <v>0</v>
      </c>
      <c r="B26" t="b">
        <f>AND(ConsolidatedEventList!B111,"AAAAABz6EwE=")</f>
        <v>1</v>
      </c>
      <c r="C26" t="e">
        <f>AND(ConsolidatedEventList!C111,"AAAAABz6EwI=")</f>
        <v>#VALUE!</v>
      </c>
      <c r="D26" t="b">
        <f>AND(ConsolidatedEventList!D111,"AAAAABz6EwM=")</f>
        <v>1</v>
      </c>
      <c r="E26" t="b">
        <f>AND(ConsolidatedEventList!E111,"AAAAABz6EwQ=")</f>
        <v>0</v>
      </c>
      <c r="F26" t="e">
        <f>AND(ConsolidatedEventList!F111,"AAAAABz6EwU=")</f>
        <v>#VALUE!</v>
      </c>
      <c r="G26" t="e">
        <f>AND(ConsolidatedEventList!G111,"AAAAABz6EwY=")</f>
        <v>#VALUE!</v>
      </c>
      <c r="H26" t="e">
        <f>AND(ConsolidatedEventList!H111,"AAAAABz6Ewc=")</f>
        <v>#VALUE!</v>
      </c>
      <c r="I26" t="e">
        <f>AND(ConsolidatedEventList!#REF!,"AAAAABz6Ewg=")</f>
        <v>#REF!</v>
      </c>
      <c r="J26" t="e">
        <f>IF(ConsolidatedEventList!#REF!,"AAAAABz6Ewk=",0)</f>
        <v>#REF!</v>
      </c>
      <c r="K26" t="e">
        <f>AND(ConsolidatedEventList!#REF!,"AAAAABz6Ewo=")</f>
        <v>#REF!</v>
      </c>
      <c r="L26" t="e">
        <f>AND(ConsolidatedEventList!#REF!,"AAAAABz6Ews=")</f>
        <v>#REF!</v>
      </c>
      <c r="M26" t="e">
        <f>AND(ConsolidatedEventList!#REF!,"AAAAABz6Eww=")</f>
        <v>#REF!</v>
      </c>
      <c r="N26" t="e">
        <f>AND(ConsolidatedEventList!#REF!,"AAAAABz6Ew0=")</f>
        <v>#REF!</v>
      </c>
      <c r="O26" t="e">
        <f>AND(ConsolidatedEventList!#REF!,"AAAAABz6Ew4=")</f>
        <v>#REF!</v>
      </c>
      <c r="P26" t="e">
        <f>AND(ConsolidatedEventList!#REF!,"AAAAABz6Ew8=")</f>
        <v>#REF!</v>
      </c>
      <c r="Q26" t="e">
        <f>AND(ConsolidatedEventList!#REF!,"AAAAABz6ExA=")</f>
        <v>#REF!</v>
      </c>
      <c r="R26" t="e">
        <f>AND(ConsolidatedEventList!#REF!,"AAAAABz6ExE=")</f>
        <v>#REF!</v>
      </c>
      <c r="S26" t="e">
        <f>AND(ConsolidatedEventList!#REF!,"AAAAABz6ExI=")</f>
        <v>#REF!</v>
      </c>
      <c r="T26" t="e">
        <f>IF(ConsolidatedEventList!#REF!,"AAAAABz6ExM=",0)</f>
        <v>#REF!</v>
      </c>
      <c r="U26" t="e">
        <f>AND(ConsolidatedEventList!#REF!,"AAAAABz6ExQ=")</f>
        <v>#REF!</v>
      </c>
      <c r="V26" t="e">
        <f>AND(ConsolidatedEventList!#REF!,"AAAAABz6ExU=")</f>
        <v>#REF!</v>
      </c>
      <c r="W26" t="e">
        <f>AND(ConsolidatedEventList!#REF!,"AAAAABz6ExY=")</f>
        <v>#REF!</v>
      </c>
      <c r="X26" t="e">
        <f>AND(ConsolidatedEventList!#REF!,"AAAAABz6Exc=")</f>
        <v>#REF!</v>
      </c>
      <c r="Y26" t="e">
        <f>AND(ConsolidatedEventList!#REF!,"AAAAABz6Exg=")</f>
        <v>#REF!</v>
      </c>
      <c r="Z26" t="e">
        <f>AND(ConsolidatedEventList!#REF!,"AAAAABz6Exk=")</f>
        <v>#REF!</v>
      </c>
      <c r="AA26" t="e">
        <f>AND(ConsolidatedEventList!#REF!,"AAAAABz6Exo=")</f>
        <v>#REF!</v>
      </c>
      <c r="AB26" t="e">
        <f>AND(ConsolidatedEventList!#REF!,"AAAAABz6Exs=")</f>
        <v>#REF!</v>
      </c>
      <c r="AC26" t="e">
        <f>AND(ConsolidatedEventList!#REF!,"AAAAABz6Exw=")</f>
        <v>#REF!</v>
      </c>
      <c r="AD26">
        <f>IF(ConsolidatedEventList!112:112,"AAAAABz6Ex0=",0)</f>
        <v>0</v>
      </c>
      <c r="AE26" t="b">
        <f>AND(ConsolidatedEventList!A112,"AAAAABz6Ex4=")</f>
        <v>0</v>
      </c>
      <c r="AF26" t="b">
        <f>AND(ConsolidatedEventList!B112,"AAAAABz6Ex8=")</f>
        <v>1</v>
      </c>
      <c r="AG26" t="e">
        <f>AND(ConsolidatedEventList!C112,"AAAAABz6EyA=")</f>
        <v>#VALUE!</v>
      </c>
      <c r="AH26" t="b">
        <f>AND(ConsolidatedEventList!D112,"AAAAABz6EyE=")</f>
        <v>1</v>
      </c>
      <c r="AI26" t="b">
        <f>AND(ConsolidatedEventList!E112,"AAAAABz6EyI=")</f>
        <v>0</v>
      </c>
      <c r="AJ26" t="e">
        <f>AND(ConsolidatedEventList!F112,"AAAAABz6EyM=")</f>
        <v>#VALUE!</v>
      </c>
      <c r="AK26" t="e">
        <f>AND(ConsolidatedEventList!G112,"AAAAABz6EyQ=")</f>
        <v>#VALUE!</v>
      </c>
      <c r="AL26" t="e">
        <f>AND(ConsolidatedEventList!H112,"AAAAABz6EyU=")</f>
        <v>#VALUE!</v>
      </c>
      <c r="AM26" t="e">
        <f>AND(ConsolidatedEventList!#REF!,"AAAAABz6EyY=")</f>
        <v>#REF!</v>
      </c>
      <c r="AN26">
        <f>IF(ConsolidatedEventList!113:113,"AAAAABz6Eyc=",0)</f>
        <v>0</v>
      </c>
      <c r="AO26" t="b">
        <f>AND(ConsolidatedEventList!A113,"AAAAABz6Eyg=")</f>
        <v>0</v>
      </c>
      <c r="AP26" t="b">
        <f>AND(ConsolidatedEventList!B113,"AAAAABz6Eyk=")</f>
        <v>1</v>
      </c>
      <c r="AQ26" t="e">
        <f>AND(ConsolidatedEventList!C113,"AAAAABz6Eyo=")</f>
        <v>#VALUE!</v>
      </c>
      <c r="AR26" t="b">
        <f>AND(ConsolidatedEventList!D113,"AAAAABz6Eys=")</f>
        <v>1</v>
      </c>
      <c r="AS26" t="b">
        <f>AND(ConsolidatedEventList!E113,"AAAAABz6Eyw=")</f>
        <v>0</v>
      </c>
      <c r="AT26" t="e">
        <f>AND(ConsolidatedEventList!F113,"AAAAABz6Ey0=")</f>
        <v>#VALUE!</v>
      </c>
      <c r="AU26" t="e">
        <f>AND(ConsolidatedEventList!G113,"AAAAABz6Ey4=")</f>
        <v>#VALUE!</v>
      </c>
      <c r="AV26" t="e">
        <f>AND(ConsolidatedEventList!H113,"AAAAABz6Ey8=")</f>
        <v>#VALUE!</v>
      </c>
      <c r="AW26" t="e">
        <f>AND(ConsolidatedEventList!#REF!,"AAAAABz6EzA=")</f>
        <v>#REF!</v>
      </c>
      <c r="AX26">
        <f>IF(ConsolidatedEventList!114:114,"AAAAABz6EzE=",0)</f>
        <v>0</v>
      </c>
      <c r="AY26" t="b">
        <f>AND(ConsolidatedEventList!A114,"AAAAABz6EzI=")</f>
        <v>0</v>
      </c>
      <c r="AZ26" t="b">
        <f>AND(ConsolidatedEventList!B114,"AAAAABz6EzM=")</f>
        <v>1</v>
      </c>
      <c r="BA26" t="e">
        <f>AND(ConsolidatedEventList!C114,"AAAAABz6EzQ=")</f>
        <v>#VALUE!</v>
      </c>
      <c r="BB26" t="b">
        <f>AND(ConsolidatedEventList!D114,"AAAAABz6EzU=")</f>
        <v>1</v>
      </c>
      <c r="BC26" t="b">
        <f>AND(ConsolidatedEventList!E114,"AAAAABz6EzY=")</f>
        <v>0</v>
      </c>
      <c r="BD26" t="e">
        <f>AND(ConsolidatedEventList!F114,"AAAAABz6Ezc=")</f>
        <v>#VALUE!</v>
      </c>
      <c r="BE26" t="e">
        <f>AND(ConsolidatedEventList!G114,"AAAAABz6Ezg=")</f>
        <v>#VALUE!</v>
      </c>
      <c r="BF26" t="e">
        <f>AND(ConsolidatedEventList!H114,"AAAAABz6Ezk=")</f>
        <v>#VALUE!</v>
      </c>
      <c r="BG26" t="e">
        <f>AND(ConsolidatedEventList!#REF!,"AAAAABz6Ezo=")</f>
        <v>#REF!</v>
      </c>
      <c r="BH26">
        <f>IF(ConsolidatedEventList!115:115,"AAAAABz6Ezs=",0)</f>
        <v>0</v>
      </c>
      <c r="BI26" t="b">
        <f>AND(ConsolidatedEventList!A115,"AAAAABz6Ezw=")</f>
        <v>0</v>
      </c>
      <c r="BJ26" t="b">
        <f>AND(ConsolidatedEventList!B115,"AAAAABz6Ez0=")</f>
        <v>1</v>
      </c>
      <c r="BK26" t="e">
        <f>AND(ConsolidatedEventList!C115,"AAAAABz6Ez4=")</f>
        <v>#VALUE!</v>
      </c>
      <c r="BL26" t="b">
        <f>AND(ConsolidatedEventList!D115,"AAAAABz6Ez8=")</f>
        <v>1</v>
      </c>
      <c r="BM26" t="b">
        <f>AND(ConsolidatedEventList!E115,"AAAAABz6E0A=")</f>
        <v>0</v>
      </c>
      <c r="BN26" t="e">
        <f>AND(ConsolidatedEventList!F115,"AAAAABz6E0E=")</f>
        <v>#VALUE!</v>
      </c>
      <c r="BO26" t="e">
        <f>AND(ConsolidatedEventList!G115,"AAAAABz6E0I=")</f>
        <v>#VALUE!</v>
      </c>
      <c r="BP26" t="e">
        <f>AND(ConsolidatedEventList!H115,"AAAAABz6E0M=")</f>
        <v>#VALUE!</v>
      </c>
      <c r="BQ26" t="e">
        <f>AND(ConsolidatedEventList!#REF!,"AAAAABz6E0Q=")</f>
        <v>#REF!</v>
      </c>
      <c r="BR26">
        <f>IF(ConsolidatedEventList!116:116,"AAAAABz6E0U=",0)</f>
        <v>0</v>
      </c>
      <c r="BS26" t="b">
        <f>AND(ConsolidatedEventList!A116,"AAAAABz6E0Y=")</f>
        <v>0</v>
      </c>
      <c r="BT26" t="b">
        <f>AND(ConsolidatedEventList!B116,"AAAAABz6E0c=")</f>
        <v>1</v>
      </c>
      <c r="BU26" t="e">
        <f>AND(ConsolidatedEventList!C116,"AAAAABz6E0g=")</f>
        <v>#VALUE!</v>
      </c>
      <c r="BV26" t="b">
        <f>AND(ConsolidatedEventList!D116,"AAAAABz6E0k=")</f>
        <v>1</v>
      </c>
      <c r="BW26" t="b">
        <f>AND(ConsolidatedEventList!E116,"AAAAABz6E0o=")</f>
        <v>0</v>
      </c>
      <c r="BX26" t="e">
        <f>AND(ConsolidatedEventList!F116,"AAAAABz6E0s=")</f>
        <v>#VALUE!</v>
      </c>
      <c r="BY26" t="e">
        <f>AND(ConsolidatedEventList!G116,"AAAAABz6E0w=")</f>
        <v>#VALUE!</v>
      </c>
      <c r="BZ26" t="e">
        <f>AND(ConsolidatedEventList!H116,"AAAAABz6E00=")</f>
        <v>#VALUE!</v>
      </c>
      <c r="CA26" t="e">
        <f>AND(ConsolidatedEventList!#REF!,"AAAAABz6E04=")</f>
        <v>#REF!</v>
      </c>
      <c r="CB26">
        <f>IF(ConsolidatedEventList!117:117,"AAAAABz6E08=",0)</f>
        <v>0</v>
      </c>
      <c r="CC26" t="b">
        <f>AND(ConsolidatedEventList!A117,"AAAAABz6E1A=")</f>
        <v>0</v>
      </c>
      <c r="CD26" t="b">
        <f>AND(ConsolidatedEventList!B117,"AAAAABz6E1E=")</f>
        <v>1</v>
      </c>
      <c r="CE26" t="e">
        <f>AND(ConsolidatedEventList!C117,"AAAAABz6E1I=")</f>
        <v>#VALUE!</v>
      </c>
      <c r="CF26" t="b">
        <f>AND(ConsolidatedEventList!D117,"AAAAABz6E1M=")</f>
        <v>1</v>
      </c>
      <c r="CG26" t="b">
        <f>AND(ConsolidatedEventList!E117,"AAAAABz6E1Q=")</f>
        <v>0</v>
      </c>
      <c r="CH26" t="e">
        <f>AND(ConsolidatedEventList!F117,"AAAAABz6E1U=")</f>
        <v>#VALUE!</v>
      </c>
      <c r="CI26" t="e">
        <f>AND(ConsolidatedEventList!G117,"AAAAABz6E1Y=")</f>
        <v>#VALUE!</v>
      </c>
      <c r="CJ26" t="e">
        <f>AND(ConsolidatedEventList!H117,"AAAAABz6E1c=")</f>
        <v>#VALUE!</v>
      </c>
      <c r="CK26" t="e">
        <f>AND(ConsolidatedEventList!#REF!,"AAAAABz6E1g=")</f>
        <v>#REF!</v>
      </c>
      <c r="CL26">
        <f>IF(ConsolidatedEventList!118:118,"AAAAABz6E1k=",0)</f>
        <v>0</v>
      </c>
      <c r="CM26" t="b">
        <f>AND(ConsolidatedEventList!A118,"AAAAABz6E1o=")</f>
        <v>0</v>
      </c>
      <c r="CN26" t="b">
        <f>AND(ConsolidatedEventList!B118,"AAAAABz6E1s=")</f>
        <v>1</v>
      </c>
      <c r="CO26" t="e">
        <f>AND(ConsolidatedEventList!C118,"AAAAABz6E1w=")</f>
        <v>#VALUE!</v>
      </c>
      <c r="CP26" t="b">
        <f>AND(ConsolidatedEventList!D118,"AAAAABz6E10=")</f>
        <v>1</v>
      </c>
      <c r="CQ26" t="b">
        <f>AND(ConsolidatedEventList!E118,"AAAAABz6E14=")</f>
        <v>0</v>
      </c>
      <c r="CR26" t="e">
        <f>AND(ConsolidatedEventList!F118,"AAAAABz6E18=")</f>
        <v>#VALUE!</v>
      </c>
      <c r="CS26" t="e">
        <f>AND(ConsolidatedEventList!G118,"AAAAABz6E2A=")</f>
        <v>#VALUE!</v>
      </c>
      <c r="CT26" t="e">
        <f>AND(ConsolidatedEventList!H118,"AAAAABz6E2E=")</f>
        <v>#VALUE!</v>
      </c>
      <c r="CU26" t="e">
        <f>AND(ConsolidatedEventList!#REF!,"AAAAABz6E2I=")</f>
        <v>#REF!</v>
      </c>
      <c r="CV26">
        <f>IF(ConsolidatedEventList!119:119,"AAAAABz6E2M=",0)</f>
        <v>0</v>
      </c>
      <c r="CW26" t="b">
        <f>AND(ConsolidatedEventList!A119,"AAAAABz6E2Q=")</f>
        <v>0</v>
      </c>
      <c r="CX26" t="b">
        <f>AND(ConsolidatedEventList!B119,"AAAAABz6E2U=")</f>
        <v>1</v>
      </c>
      <c r="CY26" t="e">
        <f>AND(ConsolidatedEventList!C119,"AAAAABz6E2Y=")</f>
        <v>#VALUE!</v>
      </c>
      <c r="CZ26" t="b">
        <f>AND(ConsolidatedEventList!D119,"AAAAABz6E2c=")</f>
        <v>1</v>
      </c>
      <c r="DA26" t="b">
        <f>AND(ConsolidatedEventList!E119,"AAAAABz6E2g=")</f>
        <v>0</v>
      </c>
      <c r="DB26" t="e">
        <f>AND(ConsolidatedEventList!F119,"AAAAABz6E2k=")</f>
        <v>#VALUE!</v>
      </c>
      <c r="DC26" t="e">
        <f>AND(ConsolidatedEventList!G119,"AAAAABz6E2o=")</f>
        <v>#VALUE!</v>
      </c>
      <c r="DD26" t="e">
        <f>AND(ConsolidatedEventList!H119,"AAAAABz6E2s=")</f>
        <v>#VALUE!</v>
      </c>
      <c r="DE26" t="e">
        <f>AND(ConsolidatedEventList!#REF!,"AAAAABz6E2w=")</f>
        <v>#REF!</v>
      </c>
      <c r="DF26">
        <f>IF(ConsolidatedEventList!120:120,"AAAAABz6E20=",0)</f>
        <v>0</v>
      </c>
      <c r="DG26" t="b">
        <f>AND(ConsolidatedEventList!A120,"AAAAABz6E24=")</f>
        <v>0</v>
      </c>
      <c r="DH26" t="b">
        <f>AND(ConsolidatedEventList!B120,"AAAAABz6E28=")</f>
        <v>1</v>
      </c>
      <c r="DI26" t="e">
        <f>AND(ConsolidatedEventList!C120,"AAAAABz6E3A=")</f>
        <v>#VALUE!</v>
      </c>
      <c r="DJ26" t="b">
        <f>AND(ConsolidatedEventList!D120,"AAAAABz6E3E=")</f>
        <v>1</v>
      </c>
      <c r="DK26" t="b">
        <f>AND(ConsolidatedEventList!E120,"AAAAABz6E3I=")</f>
        <v>0</v>
      </c>
      <c r="DL26" t="e">
        <f>AND(ConsolidatedEventList!F120,"AAAAABz6E3M=")</f>
        <v>#VALUE!</v>
      </c>
      <c r="DM26" t="e">
        <f>AND(ConsolidatedEventList!G120,"AAAAABz6E3Q=")</f>
        <v>#VALUE!</v>
      </c>
      <c r="DN26" t="e">
        <f>AND(ConsolidatedEventList!H120,"AAAAABz6E3U=")</f>
        <v>#VALUE!</v>
      </c>
      <c r="DO26" t="e">
        <f>AND(ConsolidatedEventList!#REF!,"AAAAABz6E3Y=")</f>
        <v>#REF!</v>
      </c>
      <c r="DP26">
        <f>IF(ConsolidatedEventList!121:121,"AAAAABz6E3c=",0)</f>
        <v>0</v>
      </c>
      <c r="DQ26" t="b">
        <f>AND(ConsolidatedEventList!A121,"AAAAABz6E3g=")</f>
        <v>0</v>
      </c>
      <c r="DR26" t="b">
        <f>AND(ConsolidatedEventList!B121,"AAAAABz6E3k=")</f>
        <v>1</v>
      </c>
      <c r="DS26" t="e">
        <f>AND(ConsolidatedEventList!C121,"AAAAABz6E3o=")</f>
        <v>#VALUE!</v>
      </c>
      <c r="DT26" t="b">
        <f>AND(ConsolidatedEventList!D121,"AAAAABz6E3s=")</f>
        <v>1</v>
      </c>
      <c r="DU26" t="b">
        <f>AND(ConsolidatedEventList!E121,"AAAAABz6E3w=")</f>
        <v>0</v>
      </c>
      <c r="DV26" t="e">
        <f>AND(ConsolidatedEventList!F121,"AAAAABz6E30=")</f>
        <v>#VALUE!</v>
      </c>
      <c r="DW26" t="e">
        <f>AND(ConsolidatedEventList!G121,"AAAAABz6E34=")</f>
        <v>#VALUE!</v>
      </c>
      <c r="DX26" t="e">
        <f>AND(ConsolidatedEventList!H121,"AAAAABz6E38=")</f>
        <v>#VALUE!</v>
      </c>
      <c r="DY26" t="e">
        <f>AND(ConsolidatedEventList!#REF!,"AAAAABz6E4A=")</f>
        <v>#REF!</v>
      </c>
      <c r="DZ26">
        <f>IF(ConsolidatedEventList!122:122,"AAAAABz6E4E=",0)</f>
        <v>0</v>
      </c>
      <c r="EA26" t="b">
        <f>AND(ConsolidatedEventList!A122,"AAAAABz6E4I=")</f>
        <v>0</v>
      </c>
      <c r="EB26" t="b">
        <f>AND(ConsolidatedEventList!B122,"AAAAABz6E4M=")</f>
        <v>1</v>
      </c>
      <c r="EC26" t="e">
        <f>AND(ConsolidatedEventList!C122,"AAAAABz6E4Q=")</f>
        <v>#VALUE!</v>
      </c>
      <c r="ED26" t="b">
        <f>AND(ConsolidatedEventList!D122,"AAAAABz6E4U=")</f>
        <v>1</v>
      </c>
      <c r="EE26" t="b">
        <f>AND(ConsolidatedEventList!E122,"AAAAABz6E4Y=")</f>
        <v>0</v>
      </c>
      <c r="EF26" t="e">
        <f>AND(ConsolidatedEventList!F122,"AAAAABz6E4c=")</f>
        <v>#VALUE!</v>
      </c>
      <c r="EG26" t="e">
        <f>AND(ConsolidatedEventList!G122,"AAAAABz6E4g=")</f>
        <v>#VALUE!</v>
      </c>
      <c r="EH26" t="e">
        <f>AND(ConsolidatedEventList!H122,"AAAAABz6E4k=")</f>
        <v>#VALUE!</v>
      </c>
      <c r="EI26" t="e">
        <f>AND(ConsolidatedEventList!#REF!,"AAAAABz6E4o=")</f>
        <v>#REF!</v>
      </c>
      <c r="EJ26">
        <f>IF(ConsolidatedEventList!123:123,"AAAAABz6E4s=",0)</f>
        <v>0</v>
      </c>
      <c r="EK26" t="b">
        <f>AND(ConsolidatedEventList!A123,"AAAAABz6E4w=")</f>
        <v>0</v>
      </c>
      <c r="EL26" t="b">
        <f>AND(ConsolidatedEventList!B123,"AAAAABz6E40=")</f>
        <v>1</v>
      </c>
      <c r="EM26" t="e">
        <f>AND(ConsolidatedEventList!C123,"AAAAABz6E44=")</f>
        <v>#VALUE!</v>
      </c>
      <c r="EN26" t="b">
        <f>AND(ConsolidatedEventList!D123,"AAAAABz6E48=")</f>
        <v>1</v>
      </c>
      <c r="EO26" t="b">
        <f>AND(ConsolidatedEventList!E123,"AAAAABz6E5A=")</f>
        <v>0</v>
      </c>
      <c r="EP26" t="e">
        <f>AND(ConsolidatedEventList!F123,"AAAAABz6E5E=")</f>
        <v>#VALUE!</v>
      </c>
      <c r="EQ26" t="e">
        <f>AND(ConsolidatedEventList!G123,"AAAAABz6E5I=")</f>
        <v>#VALUE!</v>
      </c>
      <c r="ER26" t="e">
        <f>AND(ConsolidatedEventList!H123,"AAAAABz6E5M=")</f>
        <v>#VALUE!</v>
      </c>
      <c r="ES26" t="e">
        <f>AND(ConsolidatedEventList!#REF!,"AAAAABz6E5Q=")</f>
        <v>#REF!</v>
      </c>
      <c r="ET26">
        <f>IF(ConsolidatedEventList!124:124,"AAAAABz6E5U=",0)</f>
        <v>0</v>
      </c>
      <c r="EU26" t="b">
        <f>AND(ConsolidatedEventList!A124,"AAAAABz6E5Y=")</f>
        <v>0</v>
      </c>
      <c r="EV26" t="b">
        <f>AND(ConsolidatedEventList!B124,"AAAAABz6E5c=")</f>
        <v>1</v>
      </c>
      <c r="EW26" t="e">
        <f>AND(ConsolidatedEventList!C124,"AAAAABz6E5g=")</f>
        <v>#VALUE!</v>
      </c>
      <c r="EX26" t="b">
        <f>AND(ConsolidatedEventList!D124,"AAAAABz6E5k=")</f>
        <v>1</v>
      </c>
      <c r="EY26" t="b">
        <f>AND(ConsolidatedEventList!E124,"AAAAABz6E5o=")</f>
        <v>0</v>
      </c>
      <c r="EZ26" t="e">
        <f>AND(ConsolidatedEventList!F124,"AAAAABz6E5s=")</f>
        <v>#VALUE!</v>
      </c>
      <c r="FA26" t="e">
        <f>AND(ConsolidatedEventList!G124,"AAAAABz6E5w=")</f>
        <v>#VALUE!</v>
      </c>
      <c r="FB26" t="e">
        <f>AND(ConsolidatedEventList!H124,"AAAAABz6E50=")</f>
        <v>#VALUE!</v>
      </c>
      <c r="FC26" t="e">
        <f>AND(ConsolidatedEventList!#REF!,"AAAAABz6E54=")</f>
        <v>#REF!</v>
      </c>
      <c r="FD26">
        <f>IF(ConsolidatedEventList!125:125,"AAAAABz6E58=",0)</f>
        <v>0</v>
      </c>
      <c r="FE26" t="b">
        <f>AND(ConsolidatedEventList!A125,"AAAAABz6E6A=")</f>
        <v>0</v>
      </c>
      <c r="FF26" t="b">
        <f>AND(ConsolidatedEventList!B125,"AAAAABz6E6E=")</f>
        <v>1</v>
      </c>
      <c r="FG26" t="e">
        <f>AND(ConsolidatedEventList!C125,"AAAAABz6E6I=")</f>
        <v>#VALUE!</v>
      </c>
      <c r="FH26" t="b">
        <f>AND(ConsolidatedEventList!D125,"AAAAABz6E6M=")</f>
        <v>1</v>
      </c>
      <c r="FI26" t="b">
        <f>AND(ConsolidatedEventList!E125,"AAAAABz6E6Q=")</f>
        <v>0</v>
      </c>
      <c r="FJ26" t="e">
        <f>AND(ConsolidatedEventList!F125,"AAAAABz6E6U=")</f>
        <v>#VALUE!</v>
      </c>
      <c r="FK26" t="e">
        <f>AND(ConsolidatedEventList!G125,"AAAAABz6E6Y=")</f>
        <v>#VALUE!</v>
      </c>
      <c r="FL26" t="e">
        <f>AND(ConsolidatedEventList!H125,"AAAAABz6E6c=")</f>
        <v>#VALUE!</v>
      </c>
      <c r="FM26" t="e">
        <f>AND(ConsolidatedEventList!#REF!,"AAAAABz6E6g=")</f>
        <v>#REF!</v>
      </c>
      <c r="FN26">
        <f>IF(ConsolidatedEventList!126:126,"AAAAABz6E6k=",0)</f>
        <v>0</v>
      </c>
      <c r="FO26" t="b">
        <f>AND(ConsolidatedEventList!A126,"AAAAABz6E6o=")</f>
        <v>0</v>
      </c>
      <c r="FP26" t="b">
        <f>AND(ConsolidatedEventList!B126,"AAAAABz6E6s=")</f>
        <v>1</v>
      </c>
      <c r="FQ26" t="e">
        <f>AND(ConsolidatedEventList!C126,"AAAAABz6E6w=")</f>
        <v>#VALUE!</v>
      </c>
      <c r="FR26" t="b">
        <f>AND(ConsolidatedEventList!D126,"AAAAABz6E60=")</f>
        <v>1</v>
      </c>
      <c r="FS26" t="b">
        <f>AND(ConsolidatedEventList!E126,"AAAAABz6E64=")</f>
        <v>0</v>
      </c>
      <c r="FT26" t="e">
        <f>AND(ConsolidatedEventList!F126,"AAAAABz6E68=")</f>
        <v>#VALUE!</v>
      </c>
      <c r="FU26" t="e">
        <f>AND(ConsolidatedEventList!G126,"AAAAABz6E7A=")</f>
        <v>#VALUE!</v>
      </c>
      <c r="FV26" t="e">
        <f>AND(ConsolidatedEventList!H126,"AAAAABz6E7E=")</f>
        <v>#VALUE!</v>
      </c>
      <c r="FW26" t="e">
        <f>AND(ConsolidatedEventList!#REF!,"AAAAABz6E7I=")</f>
        <v>#REF!</v>
      </c>
      <c r="FX26">
        <f>IF(ConsolidatedEventList!127:127,"AAAAABz6E7M=",0)</f>
        <v>0</v>
      </c>
      <c r="FY26" t="b">
        <f>AND(ConsolidatedEventList!A127,"AAAAABz6E7Q=")</f>
        <v>0</v>
      </c>
      <c r="FZ26" t="b">
        <f>AND(ConsolidatedEventList!B127,"AAAAABz6E7U=")</f>
        <v>1</v>
      </c>
      <c r="GA26" t="e">
        <f>AND(ConsolidatedEventList!C127,"AAAAABz6E7Y=")</f>
        <v>#VALUE!</v>
      </c>
      <c r="GB26" t="b">
        <f>AND(ConsolidatedEventList!D127,"AAAAABz6E7c=")</f>
        <v>1</v>
      </c>
      <c r="GC26" t="b">
        <f>AND(ConsolidatedEventList!E127,"AAAAABz6E7g=")</f>
        <v>0</v>
      </c>
      <c r="GD26" t="e">
        <f>AND(ConsolidatedEventList!F127,"AAAAABz6E7k=")</f>
        <v>#VALUE!</v>
      </c>
      <c r="GE26" t="e">
        <f>AND(ConsolidatedEventList!G127,"AAAAABz6E7o=")</f>
        <v>#VALUE!</v>
      </c>
      <c r="GF26" t="e">
        <f>AND(ConsolidatedEventList!H127,"AAAAABz6E7s=")</f>
        <v>#VALUE!</v>
      </c>
      <c r="GG26" t="e">
        <f>AND(ConsolidatedEventList!#REF!,"AAAAABz6E7w=")</f>
        <v>#REF!</v>
      </c>
      <c r="GH26">
        <f>IF(ConsolidatedEventList!128:128,"AAAAABz6E70=",0)</f>
        <v>0</v>
      </c>
      <c r="GI26" t="b">
        <f>AND(ConsolidatedEventList!A128,"AAAAABz6E74=")</f>
        <v>0</v>
      </c>
      <c r="GJ26" t="b">
        <f>AND(ConsolidatedEventList!B128,"AAAAABz6E78=")</f>
        <v>1</v>
      </c>
      <c r="GK26" t="e">
        <f>AND(ConsolidatedEventList!C128,"AAAAABz6E8A=")</f>
        <v>#VALUE!</v>
      </c>
      <c r="GL26" t="b">
        <f>AND(ConsolidatedEventList!D128,"AAAAABz6E8E=")</f>
        <v>1</v>
      </c>
      <c r="GM26" t="b">
        <f>AND(ConsolidatedEventList!E128,"AAAAABz6E8I=")</f>
        <v>0</v>
      </c>
      <c r="GN26" t="e">
        <f>AND(ConsolidatedEventList!F128,"AAAAABz6E8M=")</f>
        <v>#VALUE!</v>
      </c>
      <c r="GO26" t="e">
        <f>AND(ConsolidatedEventList!G128,"AAAAABz6E8Q=")</f>
        <v>#VALUE!</v>
      </c>
      <c r="GP26" t="e">
        <f>AND(ConsolidatedEventList!H128,"AAAAABz6E8U=")</f>
        <v>#VALUE!</v>
      </c>
      <c r="GQ26" t="e">
        <f>AND(ConsolidatedEventList!#REF!,"AAAAABz6E8Y=")</f>
        <v>#REF!</v>
      </c>
      <c r="GR26">
        <f>IF(ConsolidatedEventList!129:129,"AAAAABz6E8c=",0)</f>
        <v>0</v>
      </c>
      <c r="GS26" t="b">
        <f>AND(ConsolidatedEventList!A129,"AAAAABz6E8g=")</f>
        <v>0</v>
      </c>
      <c r="GT26" t="b">
        <f>AND(ConsolidatedEventList!B129,"AAAAABz6E8k=")</f>
        <v>1</v>
      </c>
      <c r="GU26" t="e">
        <f>AND(ConsolidatedEventList!C129,"AAAAABz6E8o=")</f>
        <v>#VALUE!</v>
      </c>
      <c r="GV26" t="b">
        <f>AND(ConsolidatedEventList!D129,"AAAAABz6E8s=")</f>
        <v>1</v>
      </c>
      <c r="GW26" t="b">
        <f>AND(ConsolidatedEventList!E129,"AAAAABz6E8w=")</f>
        <v>0</v>
      </c>
      <c r="GX26" t="e">
        <f>AND(ConsolidatedEventList!F129,"AAAAABz6E80=")</f>
        <v>#VALUE!</v>
      </c>
      <c r="GY26" t="e">
        <f>AND(ConsolidatedEventList!G129,"AAAAABz6E84=")</f>
        <v>#VALUE!</v>
      </c>
      <c r="GZ26" t="e">
        <f>AND(ConsolidatedEventList!H129,"AAAAABz6E88=")</f>
        <v>#VALUE!</v>
      </c>
      <c r="HA26" t="e">
        <f>AND(ConsolidatedEventList!#REF!,"AAAAABz6E9A=")</f>
        <v>#REF!</v>
      </c>
      <c r="HB26">
        <f>IF(ConsolidatedEventList!130:130,"AAAAABz6E9E=",0)</f>
        <v>0</v>
      </c>
      <c r="HC26" t="b">
        <f>AND(ConsolidatedEventList!A130,"AAAAABz6E9I=")</f>
        <v>0</v>
      </c>
      <c r="HD26" t="b">
        <f>AND(ConsolidatedEventList!B130,"AAAAABz6E9M=")</f>
        <v>1</v>
      </c>
      <c r="HE26" t="e">
        <f>AND(ConsolidatedEventList!C130,"AAAAABz6E9Q=")</f>
        <v>#VALUE!</v>
      </c>
      <c r="HF26" t="b">
        <f>AND(ConsolidatedEventList!D130,"AAAAABz6E9U=")</f>
        <v>1</v>
      </c>
      <c r="HG26" t="b">
        <f>AND(ConsolidatedEventList!E130,"AAAAABz6E9Y=")</f>
        <v>0</v>
      </c>
      <c r="HH26" t="e">
        <f>AND(ConsolidatedEventList!F130,"AAAAABz6E9c=")</f>
        <v>#VALUE!</v>
      </c>
      <c r="HI26" t="e">
        <f>AND(ConsolidatedEventList!G130,"AAAAABz6E9g=")</f>
        <v>#VALUE!</v>
      </c>
      <c r="HJ26" t="e">
        <f>AND(ConsolidatedEventList!H130,"AAAAABz6E9k=")</f>
        <v>#VALUE!</v>
      </c>
      <c r="HK26" t="e">
        <f>AND(ConsolidatedEventList!#REF!,"AAAAABz6E9o=")</f>
        <v>#REF!</v>
      </c>
      <c r="HL26">
        <f>IF(ConsolidatedEventList!131:131,"AAAAABz6E9s=",0)</f>
        <v>0</v>
      </c>
      <c r="HM26" t="b">
        <f>AND(ConsolidatedEventList!A131,"AAAAABz6E9w=")</f>
        <v>0</v>
      </c>
      <c r="HN26" t="b">
        <f>AND(ConsolidatedEventList!B131,"AAAAABz6E90=")</f>
        <v>1</v>
      </c>
      <c r="HO26" t="e">
        <f>AND(ConsolidatedEventList!C131,"AAAAABz6E94=")</f>
        <v>#VALUE!</v>
      </c>
      <c r="HP26" t="b">
        <f>AND(ConsolidatedEventList!D131,"AAAAABz6E98=")</f>
        <v>1</v>
      </c>
      <c r="HQ26" t="b">
        <f>AND(ConsolidatedEventList!E131,"AAAAABz6E+A=")</f>
        <v>0</v>
      </c>
      <c r="HR26" t="e">
        <f>AND(ConsolidatedEventList!F131,"AAAAABz6E+E=")</f>
        <v>#VALUE!</v>
      </c>
      <c r="HS26" t="e">
        <f>AND(ConsolidatedEventList!G131,"AAAAABz6E+I=")</f>
        <v>#VALUE!</v>
      </c>
      <c r="HT26" t="e">
        <f>AND(ConsolidatedEventList!H131,"AAAAABz6E+M=")</f>
        <v>#VALUE!</v>
      </c>
      <c r="HU26" t="e">
        <f>AND(ConsolidatedEventList!#REF!,"AAAAABz6E+Q=")</f>
        <v>#REF!</v>
      </c>
      <c r="HV26" t="e">
        <f>IF(ConsolidatedEventList!#REF!,"AAAAABz6E+U=",0)</f>
        <v>#REF!</v>
      </c>
      <c r="HW26" t="e">
        <f>AND(ConsolidatedEventList!#REF!,"AAAAABz6E+Y=")</f>
        <v>#REF!</v>
      </c>
      <c r="HX26" t="e">
        <f>AND(ConsolidatedEventList!#REF!,"AAAAABz6E+c=")</f>
        <v>#REF!</v>
      </c>
      <c r="HY26" t="e">
        <f>AND(ConsolidatedEventList!#REF!,"AAAAABz6E+g=")</f>
        <v>#REF!</v>
      </c>
      <c r="HZ26" t="e">
        <f>AND(ConsolidatedEventList!#REF!,"AAAAABz6E+k=")</f>
        <v>#REF!</v>
      </c>
      <c r="IA26" t="e">
        <f>AND(ConsolidatedEventList!#REF!,"AAAAABz6E+o=")</f>
        <v>#REF!</v>
      </c>
      <c r="IB26" t="e">
        <f>AND(ConsolidatedEventList!#REF!,"AAAAABz6E+s=")</f>
        <v>#REF!</v>
      </c>
      <c r="IC26" t="e">
        <f>AND(ConsolidatedEventList!#REF!,"AAAAABz6E+w=")</f>
        <v>#REF!</v>
      </c>
      <c r="ID26" t="e">
        <f>AND(ConsolidatedEventList!#REF!,"AAAAABz6E+0=")</f>
        <v>#REF!</v>
      </c>
      <c r="IE26" t="e">
        <f>AND(ConsolidatedEventList!#REF!,"AAAAABz6E+4=")</f>
        <v>#REF!</v>
      </c>
      <c r="IF26" t="e">
        <f>IF(ConsolidatedEventList!#REF!,"AAAAABz6E+8=",0)</f>
        <v>#REF!</v>
      </c>
      <c r="IG26" t="e">
        <f>AND(ConsolidatedEventList!#REF!,"AAAAABz6E/A=")</f>
        <v>#REF!</v>
      </c>
      <c r="IH26" t="e">
        <f>AND(ConsolidatedEventList!#REF!,"AAAAABz6E/E=")</f>
        <v>#REF!</v>
      </c>
      <c r="II26" t="e">
        <f>AND(ConsolidatedEventList!#REF!,"AAAAABz6E/I=")</f>
        <v>#REF!</v>
      </c>
      <c r="IJ26" t="e">
        <f>AND(ConsolidatedEventList!#REF!,"AAAAABz6E/M=")</f>
        <v>#REF!</v>
      </c>
      <c r="IK26" t="e">
        <f>AND(ConsolidatedEventList!#REF!,"AAAAABz6E/Q=")</f>
        <v>#REF!</v>
      </c>
      <c r="IL26" t="e">
        <f>AND(ConsolidatedEventList!#REF!,"AAAAABz6E/U=")</f>
        <v>#REF!</v>
      </c>
      <c r="IM26" t="e">
        <f>AND(ConsolidatedEventList!#REF!,"AAAAABz6E/Y=")</f>
        <v>#REF!</v>
      </c>
      <c r="IN26" t="e">
        <f>AND(ConsolidatedEventList!#REF!,"AAAAABz6E/c=")</f>
        <v>#REF!</v>
      </c>
      <c r="IO26" t="e">
        <f>AND(ConsolidatedEventList!#REF!,"AAAAABz6E/g=")</f>
        <v>#REF!</v>
      </c>
      <c r="IP26" t="e">
        <f>IF(ConsolidatedEventList!#REF!,"AAAAABz6E/k=",0)</f>
        <v>#REF!</v>
      </c>
      <c r="IQ26" t="e">
        <f>AND(ConsolidatedEventList!#REF!,"AAAAABz6E/o=")</f>
        <v>#REF!</v>
      </c>
      <c r="IR26" t="e">
        <f>AND(ConsolidatedEventList!#REF!,"AAAAABz6E/s=")</f>
        <v>#REF!</v>
      </c>
      <c r="IS26" t="e">
        <f>AND(ConsolidatedEventList!#REF!,"AAAAABz6E/w=")</f>
        <v>#REF!</v>
      </c>
      <c r="IT26" t="e">
        <f>AND(ConsolidatedEventList!#REF!,"AAAAABz6E/0=")</f>
        <v>#REF!</v>
      </c>
      <c r="IU26" t="e">
        <f>AND(ConsolidatedEventList!#REF!,"AAAAABz6E/4=")</f>
        <v>#REF!</v>
      </c>
      <c r="IV26" t="e">
        <f>AND(ConsolidatedEventList!#REF!,"AAAAABz6E/8=")</f>
        <v>#REF!</v>
      </c>
    </row>
    <row r="27" spans="1:256" x14ac:dyDescent="0.25">
      <c r="A27" t="e">
        <f>AND(ConsolidatedEventList!#REF!,"AAAAADp+pQA=")</f>
        <v>#REF!</v>
      </c>
      <c r="B27" t="e">
        <f>AND(ConsolidatedEventList!#REF!,"AAAAADp+pQE=")</f>
        <v>#REF!</v>
      </c>
      <c r="C27" t="e">
        <f>AND(ConsolidatedEventList!#REF!,"AAAAADp+pQI=")</f>
        <v>#REF!</v>
      </c>
      <c r="D27" t="e">
        <f>IF(ConsolidatedEventList!#REF!,"AAAAADp+pQM=",0)</f>
        <v>#REF!</v>
      </c>
      <c r="E27" t="e">
        <f>AND(ConsolidatedEventList!#REF!,"AAAAADp+pQQ=")</f>
        <v>#REF!</v>
      </c>
      <c r="F27" t="e">
        <f>AND(ConsolidatedEventList!#REF!,"AAAAADp+pQU=")</f>
        <v>#REF!</v>
      </c>
      <c r="G27" t="e">
        <f>AND(ConsolidatedEventList!#REF!,"AAAAADp+pQY=")</f>
        <v>#REF!</v>
      </c>
      <c r="H27" t="e">
        <f>AND(ConsolidatedEventList!#REF!,"AAAAADp+pQc=")</f>
        <v>#REF!</v>
      </c>
      <c r="I27" t="e">
        <f>AND(ConsolidatedEventList!#REF!,"AAAAADp+pQg=")</f>
        <v>#REF!</v>
      </c>
      <c r="J27" t="e">
        <f>AND(ConsolidatedEventList!#REF!,"AAAAADp+pQk=")</f>
        <v>#REF!</v>
      </c>
      <c r="K27" t="e">
        <f>AND(ConsolidatedEventList!#REF!,"AAAAADp+pQo=")</f>
        <v>#REF!</v>
      </c>
      <c r="L27" t="e">
        <f>AND(ConsolidatedEventList!#REF!,"AAAAADp+pQs=")</f>
        <v>#REF!</v>
      </c>
      <c r="M27" t="e">
        <f>AND(ConsolidatedEventList!#REF!,"AAAAADp+pQw=")</f>
        <v>#REF!</v>
      </c>
      <c r="N27" t="e">
        <f>IF(ConsolidatedEventList!#REF!,"AAAAADp+pQ0=",0)</f>
        <v>#REF!</v>
      </c>
      <c r="O27" t="e">
        <f>AND(ConsolidatedEventList!#REF!,"AAAAADp+pQ4=")</f>
        <v>#REF!</v>
      </c>
      <c r="P27" t="e">
        <f>AND(ConsolidatedEventList!#REF!,"AAAAADp+pQ8=")</f>
        <v>#REF!</v>
      </c>
      <c r="Q27" t="e">
        <f>AND(ConsolidatedEventList!#REF!,"AAAAADp+pRA=")</f>
        <v>#REF!</v>
      </c>
      <c r="R27" t="e">
        <f>AND(ConsolidatedEventList!#REF!,"AAAAADp+pRE=")</f>
        <v>#REF!</v>
      </c>
      <c r="S27" t="e">
        <f>AND(ConsolidatedEventList!#REF!,"AAAAADp+pRI=")</f>
        <v>#REF!</v>
      </c>
      <c r="T27" t="e">
        <f>AND(ConsolidatedEventList!#REF!,"AAAAADp+pRM=")</f>
        <v>#REF!</v>
      </c>
      <c r="U27" t="e">
        <f>AND(ConsolidatedEventList!#REF!,"AAAAADp+pRQ=")</f>
        <v>#REF!</v>
      </c>
      <c r="V27" t="e">
        <f>AND(ConsolidatedEventList!#REF!,"AAAAADp+pRU=")</f>
        <v>#REF!</v>
      </c>
      <c r="W27" t="e">
        <f>AND(ConsolidatedEventList!#REF!,"AAAAADp+pRY=")</f>
        <v>#REF!</v>
      </c>
      <c r="X27" t="e">
        <f>IF(ConsolidatedEventList!#REF!,"AAAAADp+pRc=",0)</f>
        <v>#REF!</v>
      </c>
      <c r="Y27" t="e">
        <f>AND(ConsolidatedEventList!#REF!,"AAAAADp+pRg=")</f>
        <v>#REF!</v>
      </c>
      <c r="Z27" t="e">
        <f>AND(ConsolidatedEventList!#REF!,"AAAAADp+pRk=")</f>
        <v>#REF!</v>
      </c>
      <c r="AA27" t="e">
        <f>AND(ConsolidatedEventList!#REF!,"AAAAADp+pRo=")</f>
        <v>#REF!</v>
      </c>
      <c r="AB27" t="e">
        <f>AND(ConsolidatedEventList!#REF!,"AAAAADp+pRs=")</f>
        <v>#REF!</v>
      </c>
      <c r="AC27" t="e">
        <f>AND(ConsolidatedEventList!#REF!,"AAAAADp+pRw=")</f>
        <v>#REF!</v>
      </c>
      <c r="AD27" t="e">
        <f>AND(ConsolidatedEventList!#REF!,"AAAAADp+pR0=")</f>
        <v>#REF!</v>
      </c>
      <c r="AE27" t="e">
        <f>AND(ConsolidatedEventList!#REF!,"AAAAADp+pR4=")</f>
        <v>#REF!</v>
      </c>
      <c r="AF27" t="e">
        <f>AND(ConsolidatedEventList!#REF!,"AAAAADp+pR8=")</f>
        <v>#REF!</v>
      </c>
      <c r="AG27" t="e">
        <f>AND(ConsolidatedEventList!#REF!,"AAAAADp+pSA=")</f>
        <v>#REF!</v>
      </c>
      <c r="AH27" t="e">
        <f>IF(ConsolidatedEventList!#REF!,"AAAAADp+pSE=",0)</f>
        <v>#REF!</v>
      </c>
      <c r="AI27" t="e">
        <f>AND(ConsolidatedEventList!#REF!,"AAAAADp+pSI=")</f>
        <v>#REF!</v>
      </c>
      <c r="AJ27" t="e">
        <f>AND(ConsolidatedEventList!#REF!,"AAAAADp+pSM=")</f>
        <v>#REF!</v>
      </c>
      <c r="AK27" t="e">
        <f>AND(ConsolidatedEventList!#REF!,"AAAAADp+pSQ=")</f>
        <v>#REF!</v>
      </c>
      <c r="AL27" t="e">
        <f>AND(ConsolidatedEventList!#REF!,"AAAAADp+pSU=")</f>
        <v>#REF!</v>
      </c>
      <c r="AM27" t="e">
        <f>AND(ConsolidatedEventList!#REF!,"AAAAADp+pSY=")</f>
        <v>#REF!</v>
      </c>
      <c r="AN27" t="e">
        <f>AND(ConsolidatedEventList!#REF!,"AAAAADp+pSc=")</f>
        <v>#REF!</v>
      </c>
      <c r="AO27" t="e">
        <f>AND(ConsolidatedEventList!#REF!,"AAAAADp+pSg=")</f>
        <v>#REF!</v>
      </c>
      <c r="AP27" t="e">
        <f>AND(ConsolidatedEventList!#REF!,"AAAAADp+pSk=")</f>
        <v>#REF!</v>
      </c>
      <c r="AQ27" t="e">
        <f>AND(ConsolidatedEventList!#REF!,"AAAAADp+pSo=")</f>
        <v>#REF!</v>
      </c>
      <c r="AR27">
        <f>IF(ConsolidatedEventList!152:152,"AAAAADp+pSs=",0)</f>
        <v>0</v>
      </c>
      <c r="AS27" t="b">
        <f>AND(ConsolidatedEventList!A152,"AAAAADp+pSw=")</f>
        <v>0</v>
      </c>
      <c r="AT27" t="b">
        <f>AND(ConsolidatedEventList!B152,"AAAAADp+pS0=")</f>
        <v>1</v>
      </c>
      <c r="AU27" t="e">
        <f>AND(ConsolidatedEventList!C152,"AAAAADp+pS4=")</f>
        <v>#VALUE!</v>
      </c>
      <c r="AV27" t="b">
        <f>AND(ConsolidatedEventList!D152,"AAAAADp+pS8=")</f>
        <v>1</v>
      </c>
      <c r="AW27" t="b">
        <f>AND(ConsolidatedEventList!E152,"AAAAADp+pTA=")</f>
        <v>0</v>
      </c>
      <c r="AX27" t="e">
        <f>AND(ConsolidatedEventList!F152,"AAAAADp+pTE=")</f>
        <v>#VALUE!</v>
      </c>
      <c r="AY27" t="e">
        <f>AND(ConsolidatedEventList!G152,"AAAAADp+pTI=")</f>
        <v>#VALUE!</v>
      </c>
      <c r="AZ27" t="e">
        <f>AND(ConsolidatedEventList!H152,"AAAAADp+pTM=")</f>
        <v>#VALUE!</v>
      </c>
      <c r="BA27" t="e">
        <f>AND(ConsolidatedEventList!#REF!,"AAAAADp+pTQ=")</f>
        <v>#REF!</v>
      </c>
      <c r="BB27">
        <f>IF(ConsolidatedEventList!153:153,"AAAAADp+pTU=",0)</f>
        <v>0</v>
      </c>
      <c r="BC27" t="b">
        <f>AND(ConsolidatedEventList!A153,"AAAAADp+pTY=")</f>
        <v>0</v>
      </c>
      <c r="BD27" t="b">
        <f>AND(ConsolidatedEventList!B153,"AAAAADp+pTc=")</f>
        <v>1</v>
      </c>
      <c r="BE27" t="e">
        <f>AND(ConsolidatedEventList!C153,"AAAAADp+pTg=")</f>
        <v>#VALUE!</v>
      </c>
      <c r="BF27" t="b">
        <f>AND(ConsolidatedEventList!D153,"AAAAADp+pTk=")</f>
        <v>1</v>
      </c>
      <c r="BG27" t="b">
        <f>AND(ConsolidatedEventList!E153,"AAAAADp+pTo=")</f>
        <v>0</v>
      </c>
      <c r="BH27" t="e">
        <f>AND(ConsolidatedEventList!F153,"AAAAADp+pTs=")</f>
        <v>#VALUE!</v>
      </c>
      <c r="BI27" t="e">
        <f>AND(ConsolidatedEventList!G153,"AAAAADp+pTw=")</f>
        <v>#VALUE!</v>
      </c>
      <c r="BJ27" t="e">
        <f>AND(ConsolidatedEventList!H153,"AAAAADp+pT0=")</f>
        <v>#VALUE!</v>
      </c>
      <c r="BK27" t="e">
        <f>AND(ConsolidatedEventList!#REF!,"AAAAADp+pT4=")</f>
        <v>#REF!</v>
      </c>
      <c r="BL27">
        <f>IF(ConsolidatedEventList!154:154,"AAAAADp+pT8=",0)</f>
        <v>0</v>
      </c>
      <c r="BM27" t="b">
        <f>AND(ConsolidatedEventList!A154,"AAAAADp+pUA=")</f>
        <v>0</v>
      </c>
      <c r="BN27" t="b">
        <f>AND(ConsolidatedEventList!B154,"AAAAADp+pUE=")</f>
        <v>1</v>
      </c>
      <c r="BO27" t="e">
        <f>AND(ConsolidatedEventList!C154,"AAAAADp+pUI=")</f>
        <v>#VALUE!</v>
      </c>
      <c r="BP27" t="b">
        <f>AND(ConsolidatedEventList!D154,"AAAAADp+pUM=")</f>
        <v>1</v>
      </c>
      <c r="BQ27" t="b">
        <f>AND(ConsolidatedEventList!E154,"AAAAADp+pUQ=")</f>
        <v>0</v>
      </c>
      <c r="BR27" t="e">
        <f>AND(ConsolidatedEventList!F154,"AAAAADp+pUU=")</f>
        <v>#VALUE!</v>
      </c>
      <c r="BS27" t="e">
        <f>AND(ConsolidatedEventList!G154,"AAAAADp+pUY=")</f>
        <v>#VALUE!</v>
      </c>
      <c r="BT27" t="e">
        <f>AND(ConsolidatedEventList!H154,"AAAAADp+pUc=")</f>
        <v>#VALUE!</v>
      </c>
      <c r="BU27" t="e">
        <f>AND(ConsolidatedEventList!#REF!,"AAAAADp+pUg=")</f>
        <v>#REF!</v>
      </c>
      <c r="BV27">
        <f>IF(ConsolidatedEventList!155:155,"AAAAADp+pUk=",0)</f>
        <v>0</v>
      </c>
      <c r="BW27" t="b">
        <f>AND(ConsolidatedEventList!A155,"AAAAADp+pUo=")</f>
        <v>0</v>
      </c>
      <c r="BX27" t="b">
        <f>AND(ConsolidatedEventList!B155,"AAAAADp+pUs=")</f>
        <v>1</v>
      </c>
      <c r="BY27" t="e">
        <f>AND(ConsolidatedEventList!C155,"AAAAADp+pUw=")</f>
        <v>#VALUE!</v>
      </c>
      <c r="BZ27" t="b">
        <f>AND(ConsolidatedEventList!D155,"AAAAADp+pU0=")</f>
        <v>1</v>
      </c>
      <c r="CA27" t="b">
        <f>AND(ConsolidatedEventList!E155,"AAAAADp+pU4=")</f>
        <v>0</v>
      </c>
      <c r="CB27" t="e">
        <f>AND(ConsolidatedEventList!F155,"AAAAADp+pU8=")</f>
        <v>#VALUE!</v>
      </c>
      <c r="CC27" t="e">
        <f>AND(ConsolidatedEventList!G155,"AAAAADp+pVA=")</f>
        <v>#VALUE!</v>
      </c>
      <c r="CD27" t="e">
        <f>AND(ConsolidatedEventList!H155,"AAAAADp+pVE=")</f>
        <v>#VALUE!</v>
      </c>
      <c r="CE27" t="e">
        <f>AND(ConsolidatedEventList!#REF!,"AAAAADp+pVI=")</f>
        <v>#REF!</v>
      </c>
      <c r="CF27">
        <f>IF(ConsolidatedEventList!156:156,"AAAAADp+pVM=",0)</f>
        <v>0</v>
      </c>
      <c r="CG27" t="b">
        <f>AND(ConsolidatedEventList!A156,"AAAAADp+pVQ=")</f>
        <v>0</v>
      </c>
      <c r="CH27" t="b">
        <f>AND(ConsolidatedEventList!B156,"AAAAADp+pVU=")</f>
        <v>1</v>
      </c>
      <c r="CI27" t="e">
        <f>AND(ConsolidatedEventList!C156,"AAAAADp+pVY=")</f>
        <v>#VALUE!</v>
      </c>
      <c r="CJ27" t="b">
        <f>AND(ConsolidatedEventList!D156,"AAAAADp+pVc=")</f>
        <v>1</v>
      </c>
      <c r="CK27" t="b">
        <f>AND(ConsolidatedEventList!E156,"AAAAADp+pVg=")</f>
        <v>0</v>
      </c>
      <c r="CL27" t="e">
        <f>AND(ConsolidatedEventList!F156,"AAAAADp+pVk=")</f>
        <v>#VALUE!</v>
      </c>
      <c r="CM27" t="e">
        <f>AND(ConsolidatedEventList!G156,"AAAAADp+pVo=")</f>
        <v>#VALUE!</v>
      </c>
      <c r="CN27" t="e">
        <f>AND(ConsolidatedEventList!H156,"AAAAADp+pVs=")</f>
        <v>#VALUE!</v>
      </c>
      <c r="CO27" t="e">
        <f>AND(ConsolidatedEventList!#REF!,"AAAAADp+pVw=")</f>
        <v>#REF!</v>
      </c>
      <c r="CP27">
        <f>IF(ConsolidatedEventList!157:157,"AAAAADp+pV0=",0)</f>
        <v>0</v>
      </c>
      <c r="CQ27" t="b">
        <f>AND(ConsolidatedEventList!A157,"AAAAADp+pV4=")</f>
        <v>0</v>
      </c>
      <c r="CR27" t="b">
        <f>AND(ConsolidatedEventList!B157,"AAAAADp+pV8=")</f>
        <v>1</v>
      </c>
      <c r="CS27" t="e">
        <f>AND(ConsolidatedEventList!C157,"AAAAADp+pWA=")</f>
        <v>#VALUE!</v>
      </c>
      <c r="CT27" t="b">
        <f>AND(ConsolidatedEventList!D157,"AAAAADp+pWE=")</f>
        <v>1</v>
      </c>
      <c r="CU27" t="b">
        <f>AND(ConsolidatedEventList!E157,"AAAAADp+pWI=")</f>
        <v>0</v>
      </c>
      <c r="CV27" t="e">
        <f>AND(ConsolidatedEventList!F157,"AAAAADp+pWM=")</f>
        <v>#VALUE!</v>
      </c>
      <c r="CW27" t="e">
        <f>AND(ConsolidatedEventList!G157,"AAAAADp+pWQ=")</f>
        <v>#VALUE!</v>
      </c>
      <c r="CX27" t="e">
        <f>AND(ConsolidatedEventList!H157,"AAAAADp+pWU=")</f>
        <v>#VALUE!</v>
      </c>
      <c r="CY27" t="e">
        <f>AND(ConsolidatedEventList!#REF!,"AAAAADp+pWY=")</f>
        <v>#REF!</v>
      </c>
      <c r="CZ27">
        <f>IF(ConsolidatedEventList!158:158,"AAAAADp+pWc=",0)</f>
        <v>0</v>
      </c>
      <c r="DA27" t="b">
        <f>AND(ConsolidatedEventList!A158,"AAAAADp+pWg=")</f>
        <v>0</v>
      </c>
      <c r="DB27" t="b">
        <f>AND(ConsolidatedEventList!B158,"AAAAADp+pWk=")</f>
        <v>1</v>
      </c>
      <c r="DC27" t="e">
        <f>AND(ConsolidatedEventList!C158,"AAAAADp+pWo=")</f>
        <v>#VALUE!</v>
      </c>
      <c r="DD27" t="b">
        <f>AND(ConsolidatedEventList!D158,"AAAAADp+pWs=")</f>
        <v>1</v>
      </c>
      <c r="DE27" t="b">
        <f>AND(ConsolidatedEventList!E158,"AAAAADp+pWw=")</f>
        <v>0</v>
      </c>
      <c r="DF27" t="e">
        <f>AND(ConsolidatedEventList!F158,"AAAAADp+pW0=")</f>
        <v>#VALUE!</v>
      </c>
      <c r="DG27" t="e">
        <f>AND(ConsolidatedEventList!G158,"AAAAADp+pW4=")</f>
        <v>#VALUE!</v>
      </c>
      <c r="DH27" t="e">
        <f>AND(ConsolidatedEventList!H158,"AAAAADp+pW8=")</f>
        <v>#VALUE!</v>
      </c>
      <c r="DI27" t="e">
        <f>AND(ConsolidatedEventList!#REF!,"AAAAADp+pXA=")</f>
        <v>#REF!</v>
      </c>
      <c r="DJ27">
        <f>IF(ConsolidatedEventList!159:159,"AAAAADp+pXE=",0)</f>
        <v>0</v>
      </c>
      <c r="DK27" t="b">
        <f>AND(ConsolidatedEventList!A159,"AAAAADp+pXI=")</f>
        <v>0</v>
      </c>
      <c r="DL27" t="b">
        <f>AND(ConsolidatedEventList!B159,"AAAAADp+pXM=")</f>
        <v>1</v>
      </c>
      <c r="DM27" t="e">
        <f>AND(ConsolidatedEventList!C159,"AAAAADp+pXQ=")</f>
        <v>#VALUE!</v>
      </c>
      <c r="DN27" t="b">
        <f>AND(ConsolidatedEventList!D159,"AAAAADp+pXU=")</f>
        <v>1</v>
      </c>
      <c r="DO27" t="b">
        <f>AND(ConsolidatedEventList!E159,"AAAAADp+pXY=")</f>
        <v>0</v>
      </c>
      <c r="DP27" t="e">
        <f>AND(ConsolidatedEventList!F159,"AAAAADp+pXc=")</f>
        <v>#VALUE!</v>
      </c>
      <c r="DQ27" t="e">
        <f>AND(ConsolidatedEventList!G159,"AAAAADp+pXg=")</f>
        <v>#VALUE!</v>
      </c>
      <c r="DR27" t="e">
        <f>AND(ConsolidatedEventList!H159,"AAAAADp+pXk=")</f>
        <v>#VALUE!</v>
      </c>
      <c r="DS27" t="e">
        <f>AND(ConsolidatedEventList!#REF!,"AAAAADp+pXo=")</f>
        <v>#REF!</v>
      </c>
      <c r="DT27">
        <f>IF(ConsolidatedEventList!160:160,"AAAAADp+pXs=",0)</f>
        <v>0</v>
      </c>
      <c r="DU27" t="b">
        <f>AND(ConsolidatedEventList!A160,"AAAAADp+pXw=")</f>
        <v>0</v>
      </c>
      <c r="DV27" t="b">
        <f>AND(ConsolidatedEventList!B160,"AAAAADp+pX0=")</f>
        <v>1</v>
      </c>
      <c r="DW27" t="e">
        <f>AND(ConsolidatedEventList!C160,"AAAAADp+pX4=")</f>
        <v>#VALUE!</v>
      </c>
      <c r="DX27" t="b">
        <f>AND(ConsolidatedEventList!D160,"AAAAADp+pX8=")</f>
        <v>1</v>
      </c>
      <c r="DY27" t="b">
        <f>AND(ConsolidatedEventList!E160,"AAAAADp+pYA=")</f>
        <v>0</v>
      </c>
      <c r="DZ27" t="e">
        <f>AND(ConsolidatedEventList!F160,"AAAAADp+pYE=")</f>
        <v>#VALUE!</v>
      </c>
      <c r="EA27" t="e">
        <f>AND(ConsolidatedEventList!G160,"AAAAADp+pYI=")</f>
        <v>#VALUE!</v>
      </c>
      <c r="EB27" t="e">
        <f>AND(ConsolidatedEventList!H160,"AAAAADp+pYM=")</f>
        <v>#VALUE!</v>
      </c>
      <c r="EC27" t="e">
        <f>AND(ConsolidatedEventList!#REF!,"AAAAADp+pYQ=")</f>
        <v>#REF!</v>
      </c>
      <c r="ED27">
        <f>IF(ConsolidatedEventList!161:161,"AAAAADp+pYU=",0)</f>
        <v>0</v>
      </c>
      <c r="EE27" t="b">
        <f>AND(ConsolidatedEventList!A161,"AAAAADp+pYY=")</f>
        <v>0</v>
      </c>
      <c r="EF27" t="b">
        <f>AND(ConsolidatedEventList!B161,"AAAAADp+pYc=")</f>
        <v>1</v>
      </c>
      <c r="EG27" t="e">
        <f>AND(ConsolidatedEventList!C161,"AAAAADp+pYg=")</f>
        <v>#VALUE!</v>
      </c>
      <c r="EH27" t="b">
        <f>AND(ConsolidatedEventList!D161,"AAAAADp+pYk=")</f>
        <v>1</v>
      </c>
      <c r="EI27" t="b">
        <f>AND(ConsolidatedEventList!E161,"AAAAADp+pYo=")</f>
        <v>0</v>
      </c>
      <c r="EJ27" t="e">
        <f>AND(ConsolidatedEventList!F161,"AAAAADp+pYs=")</f>
        <v>#VALUE!</v>
      </c>
      <c r="EK27" t="e">
        <f>AND(ConsolidatedEventList!G161,"AAAAADp+pYw=")</f>
        <v>#VALUE!</v>
      </c>
      <c r="EL27" t="e">
        <f>AND(ConsolidatedEventList!H161,"AAAAADp+pY0=")</f>
        <v>#VALUE!</v>
      </c>
      <c r="EM27" t="e">
        <f>AND(ConsolidatedEventList!#REF!,"AAAAADp+pY4=")</f>
        <v>#REF!</v>
      </c>
      <c r="EN27" t="e">
        <f>IF(ConsolidatedEventList!#REF!,"AAAAADp+pY8=",0)</f>
        <v>#REF!</v>
      </c>
      <c r="EO27" t="e">
        <f>AND(ConsolidatedEventList!#REF!,"AAAAADp+pZA=")</f>
        <v>#REF!</v>
      </c>
      <c r="EP27" t="e">
        <f>AND(ConsolidatedEventList!#REF!,"AAAAADp+pZE=")</f>
        <v>#REF!</v>
      </c>
      <c r="EQ27" t="e">
        <f>AND(ConsolidatedEventList!#REF!,"AAAAADp+pZI=")</f>
        <v>#REF!</v>
      </c>
      <c r="ER27" t="e">
        <f>AND(ConsolidatedEventList!#REF!,"AAAAADp+pZM=")</f>
        <v>#REF!</v>
      </c>
      <c r="ES27" t="e">
        <f>AND(ConsolidatedEventList!#REF!,"AAAAADp+pZQ=")</f>
        <v>#REF!</v>
      </c>
      <c r="ET27" t="e">
        <f>AND(ConsolidatedEventList!#REF!,"AAAAADp+pZU=")</f>
        <v>#REF!</v>
      </c>
      <c r="EU27" t="e">
        <f>AND(ConsolidatedEventList!#REF!,"AAAAADp+pZY=")</f>
        <v>#REF!</v>
      </c>
      <c r="EV27" t="e">
        <f>AND(ConsolidatedEventList!#REF!,"AAAAADp+pZc=")</f>
        <v>#REF!</v>
      </c>
      <c r="EW27" t="e">
        <f>AND(ConsolidatedEventList!#REF!,"AAAAADp+pZg=")</f>
        <v>#REF!</v>
      </c>
      <c r="EX27" t="e">
        <f>IF(ConsolidatedEventList!#REF!,"AAAAADp+pZk=",0)</f>
        <v>#REF!</v>
      </c>
      <c r="EY27" t="e">
        <f>AND(ConsolidatedEventList!#REF!,"AAAAADp+pZo=")</f>
        <v>#REF!</v>
      </c>
      <c r="EZ27" t="e">
        <f>AND(ConsolidatedEventList!#REF!,"AAAAADp+pZs=")</f>
        <v>#REF!</v>
      </c>
      <c r="FA27" t="e">
        <f>AND(ConsolidatedEventList!#REF!,"AAAAADp+pZw=")</f>
        <v>#REF!</v>
      </c>
      <c r="FB27" t="e">
        <f>AND(ConsolidatedEventList!#REF!,"AAAAADp+pZ0=")</f>
        <v>#REF!</v>
      </c>
      <c r="FC27" t="e">
        <f>AND(ConsolidatedEventList!#REF!,"AAAAADp+pZ4=")</f>
        <v>#REF!</v>
      </c>
      <c r="FD27" t="e">
        <f>AND(ConsolidatedEventList!#REF!,"AAAAADp+pZ8=")</f>
        <v>#REF!</v>
      </c>
      <c r="FE27" t="e">
        <f>AND(ConsolidatedEventList!#REF!,"AAAAADp+paA=")</f>
        <v>#REF!</v>
      </c>
      <c r="FF27" t="e">
        <f>AND(ConsolidatedEventList!#REF!,"AAAAADp+paE=")</f>
        <v>#REF!</v>
      </c>
      <c r="FG27" t="e">
        <f>AND(ConsolidatedEventList!#REF!,"AAAAADp+paI=")</f>
        <v>#REF!</v>
      </c>
      <c r="FH27">
        <f>IF(ConsolidatedEventList!162:162,"AAAAADp+paM=",0)</f>
        <v>0</v>
      </c>
      <c r="FI27" t="b">
        <f>AND(ConsolidatedEventList!A162,"AAAAADp+paQ=")</f>
        <v>0</v>
      </c>
      <c r="FJ27" t="b">
        <f>AND(ConsolidatedEventList!B162,"AAAAADp+paU=")</f>
        <v>1</v>
      </c>
      <c r="FK27" t="e">
        <f>AND(ConsolidatedEventList!C162,"AAAAADp+paY=")</f>
        <v>#VALUE!</v>
      </c>
      <c r="FL27" t="b">
        <f>AND(ConsolidatedEventList!D162,"AAAAADp+pac=")</f>
        <v>1</v>
      </c>
      <c r="FM27" t="b">
        <f>AND(ConsolidatedEventList!E162,"AAAAADp+pag=")</f>
        <v>0</v>
      </c>
      <c r="FN27" t="e">
        <f>AND(ConsolidatedEventList!F162,"AAAAADp+pak=")</f>
        <v>#VALUE!</v>
      </c>
      <c r="FO27" t="e">
        <f>AND(ConsolidatedEventList!G162,"AAAAADp+pao=")</f>
        <v>#VALUE!</v>
      </c>
      <c r="FP27" t="e">
        <f>AND(ConsolidatedEventList!H162,"AAAAADp+pas=")</f>
        <v>#VALUE!</v>
      </c>
      <c r="FQ27" t="e">
        <f>AND(ConsolidatedEventList!#REF!,"AAAAADp+paw=")</f>
        <v>#REF!</v>
      </c>
      <c r="FR27">
        <f>IF(ConsolidatedEventList!163:163,"AAAAADp+pa0=",0)</f>
        <v>0</v>
      </c>
      <c r="FS27" t="b">
        <f>AND(ConsolidatedEventList!A163,"AAAAADp+pa4=")</f>
        <v>0</v>
      </c>
      <c r="FT27" t="b">
        <f>AND(ConsolidatedEventList!B163,"AAAAADp+pa8=")</f>
        <v>1</v>
      </c>
      <c r="FU27" t="e">
        <f>AND(ConsolidatedEventList!C163,"AAAAADp+pbA=")</f>
        <v>#VALUE!</v>
      </c>
      <c r="FV27" t="b">
        <f>AND(ConsolidatedEventList!D163,"AAAAADp+pbE=")</f>
        <v>1</v>
      </c>
      <c r="FW27" t="b">
        <f>AND(ConsolidatedEventList!E163,"AAAAADp+pbI=")</f>
        <v>0</v>
      </c>
      <c r="FX27" t="e">
        <f>AND(ConsolidatedEventList!F163,"AAAAADp+pbM=")</f>
        <v>#VALUE!</v>
      </c>
      <c r="FY27" t="e">
        <f>AND(ConsolidatedEventList!G163,"AAAAADp+pbQ=")</f>
        <v>#VALUE!</v>
      </c>
      <c r="FZ27" t="e">
        <f>AND(ConsolidatedEventList!H163,"AAAAADp+pbU=")</f>
        <v>#VALUE!</v>
      </c>
      <c r="GA27" t="e">
        <f>AND(ConsolidatedEventList!#REF!,"AAAAADp+pbY=")</f>
        <v>#REF!</v>
      </c>
      <c r="GB27">
        <f>IF(ConsolidatedEventList!164:164,"AAAAADp+pbc=",0)</f>
        <v>0</v>
      </c>
      <c r="GC27" t="b">
        <f>AND(ConsolidatedEventList!A164,"AAAAADp+pbg=")</f>
        <v>0</v>
      </c>
      <c r="GD27" t="b">
        <f>AND(ConsolidatedEventList!B164,"AAAAADp+pbk=")</f>
        <v>1</v>
      </c>
      <c r="GE27" t="e">
        <f>AND(ConsolidatedEventList!C164,"AAAAADp+pbo=")</f>
        <v>#VALUE!</v>
      </c>
      <c r="GF27" t="b">
        <f>AND(ConsolidatedEventList!D164,"AAAAADp+pbs=")</f>
        <v>1</v>
      </c>
      <c r="GG27" t="b">
        <f>AND(ConsolidatedEventList!E164,"AAAAADp+pbw=")</f>
        <v>0</v>
      </c>
      <c r="GH27" t="e">
        <f>AND(ConsolidatedEventList!F164,"AAAAADp+pb0=")</f>
        <v>#VALUE!</v>
      </c>
      <c r="GI27" t="e">
        <f>AND(ConsolidatedEventList!G164,"AAAAADp+pb4=")</f>
        <v>#VALUE!</v>
      </c>
      <c r="GJ27" t="e">
        <f>AND(ConsolidatedEventList!H164,"AAAAADp+pb8=")</f>
        <v>#VALUE!</v>
      </c>
      <c r="GK27" t="e">
        <f>AND(ConsolidatedEventList!#REF!,"AAAAADp+pcA=")</f>
        <v>#REF!</v>
      </c>
      <c r="GL27">
        <f>IF(ConsolidatedEventList!165:165,"AAAAADp+pcE=",0)</f>
        <v>0</v>
      </c>
      <c r="GM27" t="b">
        <f>AND(ConsolidatedEventList!A165,"AAAAADp+pcI=")</f>
        <v>0</v>
      </c>
      <c r="GN27" t="b">
        <f>AND(ConsolidatedEventList!B165,"AAAAADp+pcM=")</f>
        <v>1</v>
      </c>
      <c r="GO27" t="e">
        <f>AND(ConsolidatedEventList!C165,"AAAAADp+pcQ=")</f>
        <v>#VALUE!</v>
      </c>
      <c r="GP27" t="b">
        <f>AND(ConsolidatedEventList!D165,"AAAAADp+pcU=")</f>
        <v>1</v>
      </c>
      <c r="GQ27" t="b">
        <f>AND(ConsolidatedEventList!E165,"AAAAADp+pcY=")</f>
        <v>0</v>
      </c>
      <c r="GR27" t="e">
        <f>AND(ConsolidatedEventList!F165,"AAAAADp+pcc=")</f>
        <v>#VALUE!</v>
      </c>
      <c r="GS27" t="e">
        <f>AND(ConsolidatedEventList!G165,"AAAAADp+pcg=")</f>
        <v>#VALUE!</v>
      </c>
      <c r="GT27" t="e">
        <f>AND(ConsolidatedEventList!H165,"AAAAADp+pck=")</f>
        <v>#VALUE!</v>
      </c>
      <c r="GU27" t="e">
        <f>AND(ConsolidatedEventList!#REF!,"AAAAADp+pco=")</f>
        <v>#REF!</v>
      </c>
      <c r="GV27">
        <f>IF(ConsolidatedEventList!166:166,"AAAAADp+pcs=",0)</f>
        <v>0</v>
      </c>
      <c r="GW27" t="b">
        <f>AND(ConsolidatedEventList!A166,"AAAAADp+pcw=")</f>
        <v>0</v>
      </c>
      <c r="GX27" t="b">
        <f>AND(ConsolidatedEventList!B166,"AAAAADp+pc0=")</f>
        <v>1</v>
      </c>
      <c r="GY27" t="e">
        <f>AND(ConsolidatedEventList!C166,"AAAAADp+pc4=")</f>
        <v>#VALUE!</v>
      </c>
      <c r="GZ27" t="b">
        <f>AND(ConsolidatedEventList!D166,"AAAAADp+pc8=")</f>
        <v>1</v>
      </c>
      <c r="HA27" t="b">
        <f>AND(ConsolidatedEventList!E166,"AAAAADp+pdA=")</f>
        <v>0</v>
      </c>
      <c r="HB27" t="e">
        <f>AND(ConsolidatedEventList!F166,"AAAAADp+pdE=")</f>
        <v>#VALUE!</v>
      </c>
      <c r="HC27" t="e">
        <f>AND(ConsolidatedEventList!G166,"AAAAADp+pdI=")</f>
        <v>#VALUE!</v>
      </c>
      <c r="HD27" t="e">
        <f>AND(ConsolidatedEventList!H166,"AAAAADp+pdM=")</f>
        <v>#VALUE!</v>
      </c>
      <c r="HE27" t="e">
        <f>AND(ConsolidatedEventList!#REF!,"AAAAADp+pdQ=")</f>
        <v>#REF!</v>
      </c>
      <c r="HF27">
        <f>IF(ConsolidatedEventList!167:167,"AAAAADp+pdU=",0)</f>
        <v>0</v>
      </c>
      <c r="HG27" t="b">
        <f>AND(ConsolidatedEventList!A167,"AAAAADp+pdY=")</f>
        <v>0</v>
      </c>
      <c r="HH27" t="b">
        <f>AND(ConsolidatedEventList!B167,"AAAAADp+pdc=")</f>
        <v>1</v>
      </c>
      <c r="HI27" t="e">
        <f>AND(ConsolidatedEventList!C167,"AAAAADp+pdg=")</f>
        <v>#VALUE!</v>
      </c>
      <c r="HJ27" t="b">
        <f>AND(ConsolidatedEventList!D167,"AAAAADp+pdk=")</f>
        <v>1</v>
      </c>
      <c r="HK27" t="b">
        <f>AND(ConsolidatedEventList!E167,"AAAAADp+pdo=")</f>
        <v>0</v>
      </c>
      <c r="HL27" t="e">
        <f>AND(ConsolidatedEventList!F167,"AAAAADp+pds=")</f>
        <v>#VALUE!</v>
      </c>
      <c r="HM27" t="e">
        <f>AND(ConsolidatedEventList!G167,"AAAAADp+pdw=")</f>
        <v>#VALUE!</v>
      </c>
      <c r="HN27" t="e">
        <f>AND(ConsolidatedEventList!H167,"AAAAADp+pd0=")</f>
        <v>#VALUE!</v>
      </c>
      <c r="HO27" t="e">
        <f>AND(ConsolidatedEventList!#REF!,"AAAAADp+pd4=")</f>
        <v>#REF!</v>
      </c>
      <c r="HP27">
        <f>IF(ConsolidatedEventList!168:168,"AAAAADp+pd8=",0)</f>
        <v>0</v>
      </c>
      <c r="HQ27" t="b">
        <f>AND(ConsolidatedEventList!A168,"AAAAADp+peA=")</f>
        <v>0</v>
      </c>
      <c r="HR27" t="b">
        <f>AND(ConsolidatedEventList!B168,"AAAAADp+peE=")</f>
        <v>1</v>
      </c>
      <c r="HS27" t="e">
        <f>AND(ConsolidatedEventList!C168,"AAAAADp+peI=")</f>
        <v>#VALUE!</v>
      </c>
      <c r="HT27" t="b">
        <f>AND(ConsolidatedEventList!D168,"AAAAADp+peM=")</f>
        <v>1</v>
      </c>
      <c r="HU27" t="b">
        <f>AND(ConsolidatedEventList!E168,"AAAAADp+peQ=")</f>
        <v>0</v>
      </c>
      <c r="HV27" t="e">
        <f>AND(ConsolidatedEventList!F168,"AAAAADp+peU=")</f>
        <v>#VALUE!</v>
      </c>
      <c r="HW27" t="e">
        <f>AND(ConsolidatedEventList!G168,"AAAAADp+peY=")</f>
        <v>#VALUE!</v>
      </c>
      <c r="HX27" t="e">
        <f>AND(ConsolidatedEventList!H168,"AAAAADp+pec=")</f>
        <v>#VALUE!</v>
      </c>
      <c r="HY27" t="e">
        <f>AND(ConsolidatedEventList!#REF!,"AAAAADp+peg=")</f>
        <v>#REF!</v>
      </c>
      <c r="HZ27">
        <f>IF(ConsolidatedEventList!169:169,"AAAAADp+pek=",0)</f>
        <v>0</v>
      </c>
      <c r="IA27" t="b">
        <f>AND(ConsolidatedEventList!A169,"AAAAADp+peo=")</f>
        <v>0</v>
      </c>
      <c r="IB27" t="b">
        <f>AND(ConsolidatedEventList!B169,"AAAAADp+pes=")</f>
        <v>1</v>
      </c>
      <c r="IC27" t="e">
        <f>AND(ConsolidatedEventList!C169,"AAAAADp+pew=")</f>
        <v>#VALUE!</v>
      </c>
      <c r="ID27" t="b">
        <f>AND(ConsolidatedEventList!D169,"AAAAADp+pe0=")</f>
        <v>1</v>
      </c>
      <c r="IE27" t="b">
        <f>AND(ConsolidatedEventList!E169,"AAAAADp+pe4=")</f>
        <v>0</v>
      </c>
      <c r="IF27" t="e">
        <f>AND(ConsolidatedEventList!F169,"AAAAADp+pe8=")</f>
        <v>#VALUE!</v>
      </c>
      <c r="IG27" t="e">
        <f>AND(ConsolidatedEventList!G169,"AAAAADp+pfA=")</f>
        <v>#VALUE!</v>
      </c>
      <c r="IH27" t="e">
        <f>AND(ConsolidatedEventList!H169,"AAAAADp+pfE=")</f>
        <v>#VALUE!</v>
      </c>
      <c r="II27" t="e">
        <f>AND(ConsolidatedEventList!#REF!,"AAAAADp+pfI=")</f>
        <v>#REF!</v>
      </c>
      <c r="IJ27">
        <f>IF(ConsolidatedEventList!170:170,"AAAAADp+pfM=",0)</f>
        <v>0</v>
      </c>
      <c r="IK27" t="b">
        <f>AND(ConsolidatedEventList!A170,"AAAAADp+pfQ=")</f>
        <v>0</v>
      </c>
      <c r="IL27" t="b">
        <f>AND(ConsolidatedEventList!B170,"AAAAADp+pfU=")</f>
        <v>1</v>
      </c>
      <c r="IM27" t="e">
        <f>AND(ConsolidatedEventList!C170,"AAAAADp+pfY=")</f>
        <v>#VALUE!</v>
      </c>
      <c r="IN27" t="b">
        <f>AND(ConsolidatedEventList!D170,"AAAAADp+pfc=")</f>
        <v>1</v>
      </c>
      <c r="IO27" t="b">
        <f>AND(ConsolidatedEventList!E170,"AAAAADp+pfg=")</f>
        <v>0</v>
      </c>
      <c r="IP27" t="e">
        <f>AND(ConsolidatedEventList!F170,"AAAAADp+pfk=")</f>
        <v>#VALUE!</v>
      </c>
      <c r="IQ27" t="e">
        <f>AND(ConsolidatedEventList!G170,"AAAAADp+pfo=")</f>
        <v>#VALUE!</v>
      </c>
      <c r="IR27" t="e">
        <f>AND(ConsolidatedEventList!H170,"AAAAADp+pfs=")</f>
        <v>#VALUE!</v>
      </c>
      <c r="IS27" t="e">
        <f>AND(ConsolidatedEventList!#REF!,"AAAAADp+pfw=")</f>
        <v>#REF!</v>
      </c>
      <c r="IT27">
        <f>IF(ConsolidatedEventList!171:171,"AAAAADp+pf0=",0)</f>
        <v>0</v>
      </c>
      <c r="IU27" t="b">
        <f>AND(ConsolidatedEventList!A171,"AAAAADp+pf4=")</f>
        <v>0</v>
      </c>
      <c r="IV27" t="b">
        <f>AND(ConsolidatedEventList!B171,"AAAAADp+pf8=")</f>
        <v>1</v>
      </c>
    </row>
    <row r="28" spans="1:256" x14ac:dyDescent="0.25">
      <c r="A28" t="e">
        <f>AND(ConsolidatedEventList!C171,"AAAAAB7r7gA=")</f>
        <v>#VALUE!</v>
      </c>
      <c r="B28" t="b">
        <f>AND(ConsolidatedEventList!D171,"AAAAAB7r7gE=")</f>
        <v>1</v>
      </c>
      <c r="C28" t="b">
        <f>AND(ConsolidatedEventList!E171,"AAAAAB7r7gI=")</f>
        <v>0</v>
      </c>
      <c r="D28" t="e">
        <f>AND(ConsolidatedEventList!F171,"AAAAAB7r7gM=")</f>
        <v>#VALUE!</v>
      </c>
      <c r="E28" t="e">
        <f>AND(ConsolidatedEventList!G171,"AAAAAB7r7gQ=")</f>
        <v>#VALUE!</v>
      </c>
      <c r="F28" t="e">
        <f>AND(ConsolidatedEventList!H171,"AAAAAB7r7gU=")</f>
        <v>#VALUE!</v>
      </c>
      <c r="G28" t="e">
        <f>AND(ConsolidatedEventList!#REF!,"AAAAAB7r7gY=")</f>
        <v>#REF!</v>
      </c>
      <c r="H28">
        <f>IF(ConsolidatedEventList!172:172,"AAAAAB7r7gc=",0)</f>
        <v>0</v>
      </c>
      <c r="I28" t="b">
        <f>AND(ConsolidatedEventList!A172,"AAAAAB7r7gg=")</f>
        <v>0</v>
      </c>
      <c r="J28" t="b">
        <f>AND(ConsolidatedEventList!B172,"AAAAAB7r7gk=")</f>
        <v>1</v>
      </c>
      <c r="K28" t="e">
        <f>AND(ConsolidatedEventList!C172,"AAAAAB7r7go=")</f>
        <v>#VALUE!</v>
      </c>
      <c r="L28" t="b">
        <f>AND(ConsolidatedEventList!D172,"AAAAAB7r7gs=")</f>
        <v>1</v>
      </c>
      <c r="M28" t="b">
        <f>AND(ConsolidatedEventList!E172,"AAAAAB7r7gw=")</f>
        <v>0</v>
      </c>
      <c r="N28" t="e">
        <f>AND(ConsolidatedEventList!F172,"AAAAAB7r7g0=")</f>
        <v>#VALUE!</v>
      </c>
      <c r="O28" t="e">
        <f>AND(ConsolidatedEventList!G172,"AAAAAB7r7g4=")</f>
        <v>#VALUE!</v>
      </c>
      <c r="P28" t="e">
        <f>AND(ConsolidatedEventList!H172,"AAAAAB7r7g8=")</f>
        <v>#VALUE!</v>
      </c>
      <c r="Q28" t="e">
        <f>AND(ConsolidatedEventList!#REF!,"AAAAAB7r7hA=")</f>
        <v>#REF!</v>
      </c>
      <c r="R28">
        <f>IF(ConsolidatedEventList!173:173,"AAAAAB7r7hE=",0)</f>
        <v>0</v>
      </c>
      <c r="S28" t="b">
        <f>AND(ConsolidatedEventList!A173,"AAAAAB7r7hI=")</f>
        <v>0</v>
      </c>
      <c r="T28" t="b">
        <f>AND(ConsolidatedEventList!B173,"AAAAAB7r7hM=")</f>
        <v>1</v>
      </c>
      <c r="U28" t="e">
        <f>AND(ConsolidatedEventList!C173,"AAAAAB7r7hQ=")</f>
        <v>#VALUE!</v>
      </c>
      <c r="V28" t="b">
        <f>AND(ConsolidatedEventList!D173,"AAAAAB7r7hU=")</f>
        <v>1</v>
      </c>
      <c r="W28" t="b">
        <f>AND(ConsolidatedEventList!E173,"AAAAAB7r7hY=")</f>
        <v>0</v>
      </c>
      <c r="X28" t="e">
        <f>AND(ConsolidatedEventList!F173,"AAAAAB7r7hc=")</f>
        <v>#VALUE!</v>
      </c>
      <c r="Y28" t="e">
        <f>AND(ConsolidatedEventList!G173,"AAAAAB7r7hg=")</f>
        <v>#VALUE!</v>
      </c>
      <c r="Z28" t="e">
        <f>AND(ConsolidatedEventList!H173,"AAAAAB7r7hk=")</f>
        <v>#VALUE!</v>
      </c>
      <c r="AA28" t="e">
        <f>AND(ConsolidatedEventList!#REF!,"AAAAAB7r7ho=")</f>
        <v>#REF!</v>
      </c>
      <c r="AB28">
        <f>IF(ConsolidatedEventList!174:174,"AAAAAB7r7hs=",0)</f>
        <v>0</v>
      </c>
      <c r="AC28" t="b">
        <f>AND(ConsolidatedEventList!A174,"AAAAAB7r7hw=")</f>
        <v>0</v>
      </c>
      <c r="AD28" t="b">
        <f>AND(ConsolidatedEventList!B174,"AAAAAB7r7h0=")</f>
        <v>1</v>
      </c>
      <c r="AE28" t="e">
        <f>AND(ConsolidatedEventList!C174,"AAAAAB7r7h4=")</f>
        <v>#VALUE!</v>
      </c>
      <c r="AF28" t="b">
        <f>AND(ConsolidatedEventList!D174,"AAAAAB7r7h8=")</f>
        <v>1</v>
      </c>
      <c r="AG28" t="b">
        <f>AND(ConsolidatedEventList!E174,"AAAAAB7r7iA=")</f>
        <v>0</v>
      </c>
      <c r="AH28" t="e">
        <f>AND(ConsolidatedEventList!F174,"AAAAAB7r7iE=")</f>
        <v>#VALUE!</v>
      </c>
      <c r="AI28" t="e">
        <f>AND(ConsolidatedEventList!G174,"AAAAAB7r7iI=")</f>
        <v>#VALUE!</v>
      </c>
      <c r="AJ28" t="e">
        <f>AND(ConsolidatedEventList!H174,"AAAAAB7r7iM=")</f>
        <v>#VALUE!</v>
      </c>
      <c r="AK28" t="e">
        <f>AND(ConsolidatedEventList!#REF!,"AAAAAB7r7iQ=")</f>
        <v>#REF!</v>
      </c>
      <c r="AL28">
        <f>IF(ConsolidatedEventList!175:175,"AAAAAB7r7iU=",0)</f>
        <v>0</v>
      </c>
      <c r="AM28" t="b">
        <f>AND(ConsolidatedEventList!A175,"AAAAAB7r7iY=")</f>
        <v>0</v>
      </c>
      <c r="AN28" t="b">
        <f>AND(ConsolidatedEventList!B175,"AAAAAB7r7ic=")</f>
        <v>1</v>
      </c>
      <c r="AO28" t="e">
        <f>AND(ConsolidatedEventList!C175,"AAAAAB7r7ig=")</f>
        <v>#VALUE!</v>
      </c>
      <c r="AP28" t="b">
        <f>AND(ConsolidatedEventList!D175,"AAAAAB7r7ik=")</f>
        <v>1</v>
      </c>
      <c r="AQ28" t="b">
        <f>AND(ConsolidatedEventList!E175,"AAAAAB7r7io=")</f>
        <v>0</v>
      </c>
      <c r="AR28" t="e">
        <f>AND(ConsolidatedEventList!F175,"AAAAAB7r7is=")</f>
        <v>#VALUE!</v>
      </c>
      <c r="AS28" t="e">
        <f>AND(ConsolidatedEventList!G175,"AAAAAB7r7iw=")</f>
        <v>#VALUE!</v>
      </c>
      <c r="AT28" t="e">
        <f>AND(ConsolidatedEventList!H175,"AAAAAB7r7i0=")</f>
        <v>#VALUE!</v>
      </c>
      <c r="AU28" t="e">
        <f>AND(ConsolidatedEventList!#REF!,"AAAAAB7r7i4=")</f>
        <v>#REF!</v>
      </c>
      <c r="AV28">
        <f>IF(ConsolidatedEventList!176:176,"AAAAAB7r7i8=",0)</f>
        <v>0</v>
      </c>
      <c r="AW28" t="b">
        <f>AND(ConsolidatedEventList!A176,"AAAAAB7r7jA=")</f>
        <v>0</v>
      </c>
      <c r="AX28" t="b">
        <f>AND(ConsolidatedEventList!B176,"AAAAAB7r7jE=")</f>
        <v>1</v>
      </c>
      <c r="AY28" t="e">
        <f>AND(ConsolidatedEventList!C176,"AAAAAB7r7jI=")</f>
        <v>#VALUE!</v>
      </c>
      <c r="AZ28" t="b">
        <f>AND(ConsolidatedEventList!D176,"AAAAAB7r7jM=")</f>
        <v>1</v>
      </c>
      <c r="BA28" t="b">
        <f>AND(ConsolidatedEventList!E176,"AAAAAB7r7jQ=")</f>
        <v>0</v>
      </c>
      <c r="BB28" t="e">
        <f>AND(ConsolidatedEventList!F176,"AAAAAB7r7jU=")</f>
        <v>#VALUE!</v>
      </c>
      <c r="BC28" t="e">
        <f>AND(ConsolidatedEventList!G176,"AAAAAB7r7jY=")</f>
        <v>#VALUE!</v>
      </c>
      <c r="BD28" t="e">
        <f>AND(ConsolidatedEventList!H176,"AAAAAB7r7jc=")</f>
        <v>#VALUE!</v>
      </c>
      <c r="BE28" t="e">
        <f>AND(ConsolidatedEventList!#REF!,"AAAAAB7r7jg=")</f>
        <v>#REF!</v>
      </c>
      <c r="BF28">
        <f>IF(ConsolidatedEventList!177:177,"AAAAAB7r7jk=",0)</f>
        <v>0</v>
      </c>
      <c r="BG28" t="b">
        <f>AND(ConsolidatedEventList!A177,"AAAAAB7r7jo=")</f>
        <v>0</v>
      </c>
      <c r="BH28" t="b">
        <f>AND(ConsolidatedEventList!B177,"AAAAAB7r7js=")</f>
        <v>1</v>
      </c>
      <c r="BI28" t="e">
        <f>AND(ConsolidatedEventList!C177,"AAAAAB7r7jw=")</f>
        <v>#VALUE!</v>
      </c>
      <c r="BJ28" t="b">
        <f>AND(ConsolidatedEventList!D177,"AAAAAB7r7j0=")</f>
        <v>1</v>
      </c>
      <c r="BK28" t="b">
        <f>AND(ConsolidatedEventList!E177,"AAAAAB7r7j4=")</f>
        <v>0</v>
      </c>
      <c r="BL28" t="e">
        <f>AND(ConsolidatedEventList!F177,"AAAAAB7r7j8=")</f>
        <v>#VALUE!</v>
      </c>
      <c r="BM28" t="e">
        <f>AND(ConsolidatedEventList!G177,"AAAAAB7r7kA=")</f>
        <v>#VALUE!</v>
      </c>
      <c r="BN28" t="e">
        <f>AND(ConsolidatedEventList!H177,"AAAAAB7r7kE=")</f>
        <v>#VALUE!</v>
      </c>
      <c r="BO28" t="e">
        <f>AND(ConsolidatedEventList!#REF!,"AAAAAB7r7kI=")</f>
        <v>#REF!</v>
      </c>
      <c r="BP28">
        <f>IF(ConsolidatedEventList!178:178,"AAAAAB7r7kM=",0)</f>
        <v>0</v>
      </c>
      <c r="BQ28" t="b">
        <f>AND(ConsolidatedEventList!A178,"AAAAAB7r7kQ=")</f>
        <v>0</v>
      </c>
      <c r="BR28" t="b">
        <f>AND(ConsolidatedEventList!B178,"AAAAAB7r7kU=")</f>
        <v>1</v>
      </c>
      <c r="BS28" t="e">
        <f>AND(ConsolidatedEventList!C178,"AAAAAB7r7kY=")</f>
        <v>#VALUE!</v>
      </c>
      <c r="BT28" t="b">
        <f>AND(ConsolidatedEventList!D178,"AAAAAB7r7kc=")</f>
        <v>1</v>
      </c>
      <c r="BU28" t="b">
        <f>AND(ConsolidatedEventList!E178,"AAAAAB7r7kg=")</f>
        <v>0</v>
      </c>
      <c r="BV28" t="e">
        <f>AND(ConsolidatedEventList!F178,"AAAAAB7r7kk=")</f>
        <v>#VALUE!</v>
      </c>
      <c r="BW28" t="e">
        <f>AND(ConsolidatedEventList!G178,"AAAAAB7r7ko=")</f>
        <v>#VALUE!</v>
      </c>
      <c r="BX28" t="e">
        <f>AND(ConsolidatedEventList!H178,"AAAAAB7r7ks=")</f>
        <v>#VALUE!</v>
      </c>
      <c r="BY28" t="e">
        <f>AND(ConsolidatedEventList!#REF!,"AAAAAB7r7kw=")</f>
        <v>#REF!</v>
      </c>
      <c r="BZ28">
        <f>IF(ConsolidatedEventList!179:179,"AAAAAB7r7k0=",0)</f>
        <v>0</v>
      </c>
      <c r="CA28" t="b">
        <f>AND(ConsolidatedEventList!A179,"AAAAAB7r7k4=")</f>
        <v>0</v>
      </c>
      <c r="CB28" t="b">
        <f>AND(ConsolidatedEventList!B179,"AAAAAB7r7k8=")</f>
        <v>1</v>
      </c>
      <c r="CC28" t="e">
        <f>AND(ConsolidatedEventList!C179,"AAAAAB7r7lA=")</f>
        <v>#VALUE!</v>
      </c>
      <c r="CD28" t="b">
        <f>AND(ConsolidatedEventList!D179,"AAAAAB7r7lE=")</f>
        <v>1</v>
      </c>
      <c r="CE28" t="b">
        <f>AND(ConsolidatedEventList!E179,"AAAAAB7r7lI=")</f>
        <v>0</v>
      </c>
      <c r="CF28" t="e">
        <f>AND(ConsolidatedEventList!F179,"AAAAAB7r7lM=")</f>
        <v>#VALUE!</v>
      </c>
      <c r="CG28" t="e">
        <f>AND(ConsolidatedEventList!G179,"AAAAAB7r7lQ=")</f>
        <v>#VALUE!</v>
      </c>
      <c r="CH28" t="e">
        <f>AND(ConsolidatedEventList!H179,"AAAAAB7r7lU=")</f>
        <v>#VALUE!</v>
      </c>
      <c r="CI28" t="e">
        <f>AND(ConsolidatedEventList!#REF!,"AAAAAB7r7lY=")</f>
        <v>#REF!</v>
      </c>
      <c r="CJ28">
        <f>IF(ConsolidatedEventList!180:180,"AAAAAB7r7lc=",0)</f>
        <v>0</v>
      </c>
      <c r="CK28" t="b">
        <f>AND(ConsolidatedEventList!A180,"AAAAAB7r7lg=")</f>
        <v>0</v>
      </c>
      <c r="CL28" t="b">
        <f>AND(ConsolidatedEventList!B180,"AAAAAB7r7lk=")</f>
        <v>1</v>
      </c>
      <c r="CM28" t="e">
        <f>AND(ConsolidatedEventList!C180,"AAAAAB7r7lo=")</f>
        <v>#VALUE!</v>
      </c>
      <c r="CN28" t="b">
        <f>AND(ConsolidatedEventList!D180,"AAAAAB7r7ls=")</f>
        <v>1</v>
      </c>
      <c r="CO28" t="b">
        <f>AND(ConsolidatedEventList!E180,"AAAAAB7r7lw=")</f>
        <v>0</v>
      </c>
      <c r="CP28" t="e">
        <f>AND(ConsolidatedEventList!F180,"AAAAAB7r7l0=")</f>
        <v>#VALUE!</v>
      </c>
      <c r="CQ28" t="e">
        <f>AND(ConsolidatedEventList!G180,"AAAAAB7r7l4=")</f>
        <v>#VALUE!</v>
      </c>
      <c r="CR28" t="e">
        <f>AND(ConsolidatedEventList!H180,"AAAAAB7r7l8=")</f>
        <v>#VALUE!</v>
      </c>
      <c r="CS28" t="e">
        <f>AND(ConsolidatedEventList!#REF!,"AAAAAB7r7mA=")</f>
        <v>#REF!</v>
      </c>
      <c r="CT28">
        <f>IF(ConsolidatedEventList!181:181,"AAAAAB7r7mE=",0)</f>
        <v>0</v>
      </c>
      <c r="CU28" t="b">
        <f>AND(ConsolidatedEventList!A181,"AAAAAB7r7mI=")</f>
        <v>0</v>
      </c>
      <c r="CV28" t="b">
        <f>AND(ConsolidatedEventList!B181,"AAAAAB7r7mM=")</f>
        <v>1</v>
      </c>
      <c r="CW28" t="e">
        <f>AND(ConsolidatedEventList!C181,"AAAAAB7r7mQ=")</f>
        <v>#VALUE!</v>
      </c>
      <c r="CX28" t="b">
        <f>AND(ConsolidatedEventList!D181,"AAAAAB7r7mU=")</f>
        <v>1</v>
      </c>
      <c r="CY28" t="b">
        <f>AND(ConsolidatedEventList!E181,"AAAAAB7r7mY=")</f>
        <v>0</v>
      </c>
      <c r="CZ28" t="e">
        <f>AND(ConsolidatedEventList!F181,"AAAAAB7r7mc=")</f>
        <v>#VALUE!</v>
      </c>
      <c r="DA28" t="e">
        <f>AND(ConsolidatedEventList!G181,"AAAAAB7r7mg=")</f>
        <v>#VALUE!</v>
      </c>
      <c r="DB28" t="e">
        <f>AND(ConsolidatedEventList!H181,"AAAAAB7r7mk=")</f>
        <v>#VALUE!</v>
      </c>
      <c r="DC28" t="e">
        <f>AND(ConsolidatedEventList!#REF!,"AAAAAB7r7mo=")</f>
        <v>#REF!</v>
      </c>
      <c r="DD28" t="e">
        <f>IF(ConsolidatedEventList!#REF!,"AAAAAB7r7ms=",0)</f>
        <v>#REF!</v>
      </c>
      <c r="DE28" t="e">
        <f>AND(ConsolidatedEventList!#REF!,"AAAAAB7r7mw=")</f>
        <v>#REF!</v>
      </c>
      <c r="DF28" t="e">
        <f>AND(ConsolidatedEventList!#REF!,"AAAAAB7r7m0=")</f>
        <v>#REF!</v>
      </c>
      <c r="DG28" t="e">
        <f>AND(ConsolidatedEventList!#REF!,"AAAAAB7r7m4=")</f>
        <v>#REF!</v>
      </c>
      <c r="DH28" t="e">
        <f>AND(ConsolidatedEventList!#REF!,"AAAAAB7r7m8=")</f>
        <v>#REF!</v>
      </c>
      <c r="DI28" t="e">
        <f>AND(ConsolidatedEventList!#REF!,"AAAAAB7r7nA=")</f>
        <v>#REF!</v>
      </c>
      <c r="DJ28" t="e">
        <f>AND(ConsolidatedEventList!#REF!,"AAAAAB7r7nE=")</f>
        <v>#REF!</v>
      </c>
      <c r="DK28" t="e">
        <f>AND(ConsolidatedEventList!#REF!,"AAAAAB7r7nI=")</f>
        <v>#REF!</v>
      </c>
      <c r="DL28" t="e">
        <f>AND(ConsolidatedEventList!#REF!,"AAAAAB7r7nM=")</f>
        <v>#REF!</v>
      </c>
      <c r="DM28" t="e">
        <f>AND(ConsolidatedEventList!#REF!,"AAAAAB7r7nQ=")</f>
        <v>#REF!</v>
      </c>
      <c r="DN28" t="e">
        <f>IF(ConsolidatedEventList!#REF!,"AAAAAB7r7nU=",0)</f>
        <v>#REF!</v>
      </c>
      <c r="DO28" t="e">
        <f>AND(ConsolidatedEventList!#REF!,"AAAAAB7r7nY=")</f>
        <v>#REF!</v>
      </c>
      <c r="DP28" t="e">
        <f>AND(ConsolidatedEventList!#REF!,"AAAAAB7r7nc=")</f>
        <v>#REF!</v>
      </c>
      <c r="DQ28" t="e">
        <f>AND(ConsolidatedEventList!#REF!,"AAAAAB7r7ng=")</f>
        <v>#REF!</v>
      </c>
      <c r="DR28" t="e">
        <f>AND(ConsolidatedEventList!#REF!,"AAAAAB7r7nk=")</f>
        <v>#REF!</v>
      </c>
      <c r="DS28" t="e">
        <f>AND(ConsolidatedEventList!#REF!,"AAAAAB7r7no=")</f>
        <v>#REF!</v>
      </c>
      <c r="DT28" t="e">
        <f>AND(ConsolidatedEventList!#REF!,"AAAAAB7r7ns=")</f>
        <v>#REF!</v>
      </c>
      <c r="DU28" t="e">
        <f>AND(ConsolidatedEventList!#REF!,"AAAAAB7r7nw=")</f>
        <v>#REF!</v>
      </c>
      <c r="DV28" t="e">
        <f>AND(ConsolidatedEventList!#REF!,"AAAAAB7r7n0=")</f>
        <v>#REF!</v>
      </c>
      <c r="DW28" t="e">
        <f>AND(ConsolidatedEventList!#REF!,"AAAAAB7r7n4=")</f>
        <v>#REF!</v>
      </c>
      <c r="DX28">
        <f>IF(ConsolidatedEventList!182:182,"AAAAAB7r7n8=",0)</f>
        <v>0</v>
      </c>
      <c r="DY28" t="b">
        <f>AND(ConsolidatedEventList!A182,"AAAAAB7r7oA=")</f>
        <v>0</v>
      </c>
      <c r="DZ28" t="b">
        <f>AND(ConsolidatedEventList!B182,"AAAAAB7r7oE=")</f>
        <v>1</v>
      </c>
      <c r="EA28" t="e">
        <f>AND(ConsolidatedEventList!C182,"AAAAAB7r7oI=")</f>
        <v>#VALUE!</v>
      </c>
      <c r="EB28" t="b">
        <f>AND(ConsolidatedEventList!D182,"AAAAAB7r7oM=")</f>
        <v>1</v>
      </c>
      <c r="EC28" t="b">
        <f>AND(ConsolidatedEventList!E182,"AAAAAB7r7oQ=")</f>
        <v>0</v>
      </c>
      <c r="ED28" t="e">
        <f>AND(ConsolidatedEventList!F182,"AAAAAB7r7oU=")</f>
        <v>#VALUE!</v>
      </c>
      <c r="EE28" t="e">
        <f>AND(ConsolidatedEventList!G182,"AAAAAB7r7oY=")</f>
        <v>#VALUE!</v>
      </c>
      <c r="EF28" t="e">
        <f>AND(ConsolidatedEventList!H182,"AAAAAB7r7oc=")</f>
        <v>#VALUE!</v>
      </c>
      <c r="EG28" t="e">
        <f>AND(ConsolidatedEventList!#REF!,"AAAAAB7r7og=")</f>
        <v>#REF!</v>
      </c>
      <c r="EH28">
        <f>IF(ConsolidatedEventList!183:183,"AAAAAB7r7ok=",0)</f>
        <v>0</v>
      </c>
      <c r="EI28" t="b">
        <f>AND(ConsolidatedEventList!A183,"AAAAAB7r7oo=")</f>
        <v>0</v>
      </c>
      <c r="EJ28" t="b">
        <f>AND(ConsolidatedEventList!B183,"AAAAAB7r7os=")</f>
        <v>1</v>
      </c>
      <c r="EK28" t="e">
        <f>AND(ConsolidatedEventList!C183,"AAAAAB7r7ow=")</f>
        <v>#VALUE!</v>
      </c>
      <c r="EL28" t="b">
        <f>AND(ConsolidatedEventList!D183,"AAAAAB7r7o0=")</f>
        <v>1</v>
      </c>
      <c r="EM28" t="b">
        <f>AND(ConsolidatedEventList!E183,"AAAAAB7r7o4=")</f>
        <v>0</v>
      </c>
      <c r="EN28" t="e">
        <f>AND(ConsolidatedEventList!F183,"AAAAAB7r7o8=")</f>
        <v>#VALUE!</v>
      </c>
      <c r="EO28" t="e">
        <f>AND(ConsolidatedEventList!G183,"AAAAAB7r7pA=")</f>
        <v>#VALUE!</v>
      </c>
      <c r="EP28" t="e">
        <f>AND(ConsolidatedEventList!H183,"AAAAAB7r7pE=")</f>
        <v>#VALUE!</v>
      </c>
      <c r="EQ28" t="e">
        <f>AND(ConsolidatedEventList!#REF!,"AAAAAB7r7pI=")</f>
        <v>#REF!</v>
      </c>
      <c r="ER28">
        <f>IF(ConsolidatedEventList!184:184,"AAAAAB7r7pM=",0)</f>
        <v>0</v>
      </c>
      <c r="ES28" t="b">
        <f>AND(ConsolidatedEventList!A184,"AAAAAB7r7pQ=")</f>
        <v>0</v>
      </c>
      <c r="ET28" t="b">
        <f>AND(ConsolidatedEventList!B184,"AAAAAB7r7pU=")</f>
        <v>1</v>
      </c>
      <c r="EU28" t="e">
        <f>AND(ConsolidatedEventList!C184,"AAAAAB7r7pY=")</f>
        <v>#VALUE!</v>
      </c>
      <c r="EV28" t="b">
        <f>AND(ConsolidatedEventList!D184,"AAAAAB7r7pc=")</f>
        <v>1</v>
      </c>
      <c r="EW28" t="b">
        <f>AND(ConsolidatedEventList!E184,"AAAAAB7r7pg=")</f>
        <v>0</v>
      </c>
      <c r="EX28" t="e">
        <f>AND(ConsolidatedEventList!F184,"AAAAAB7r7pk=")</f>
        <v>#VALUE!</v>
      </c>
      <c r="EY28" t="e">
        <f>AND(ConsolidatedEventList!G184,"AAAAAB7r7po=")</f>
        <v>#VALUE!</v>
      </c>
      <c r="EZ28" t="e">
        <f>AND(ConsolidatedEventList!H184,"AAAAAB7r7ps=")</f>
        <v>#VALUE!</v>
      </c>
      <c r="FA28" t="e">
        <f>AND(ConsolidatedEventList!#REF!,"AAAAAB7r7pw=")</f>
        <v>#REF!</v>
      </c>
      <c r="FB28">
        <f>IF(ConsolidatedEventList!185:185,"AAAAAB7r7p0=",0)</f>
        <v>0</v>
      </c>
      <c r="FC28" t="b">
        <f>AND(ConsolidatedEventList!A185,"AAAAAB7r7p4=")</f>
        <v>0</v>
      </c>
      <c r="FD28" t="b">
        <f>AND(ConsolidatedEventList!B185,"AAAAAB7r7p8=")</f>
        <v>1</v>
      </c>
      <c r="FE28" t="e">
        <f>AND(ConsolidatedEventList!C185,"AAAAAB7r7qA=")</f>
        <v>#VALUE!</v>
      </c>
      <c r="FF28" t="b">
        <f>AND(ConsolidatedEventList!D185,"AAAAAB7r7qE=")</f>
        <v>1</v>
      </c>
      <c r="FG28" t="b">
        <f>AND(ConsolidatedEventList!E185,"AAAAAB7r7qI=")</f>
        <v>0</v>
      </c>
      <c r="FH28" t="e">
        <f>AND(ConsolidatedEventList!F185,"AAAAAB7r7qM=")</f>
        <v>#VALUE!</v>
      </c>
      <c r="FI28" t="e">
        <f>AND(ConsolidatedEventList!G185,"AAAAAB7r7qQ=")</f>
        <v>#VALUE!</v>
      </c>
      <c r="FJ28" t="e">
        <f>AND(ConsolidatedEventList!H185,"AAAAAB7r7qU=")</f>
        <v>#VALUE!</v>
      </c>
      <c r="FK28" t="e">
        <f>AND(ConsolidatedEventList!#REF!,"AAAAAB7r7qY=")</f>
        <v>#REF!</v>
      </c>
      <c r="FL28">
        <f>IF(ConsolidatedEventList!186:186,"AAAAAB7r7qc=",0)</f>
        <v>0</v>
      </c>
      <c r="FM28" t="b">
        <f>AND(ConsolidatedEventList!A186,"AAAAAB7r7qg=")</f>
        <v>0</v>
      </c>
      <c r="FN28" t="b">
        <f>AND(ConsolidatedEventList!B186,"AAAAAB7r7qk=")</f>
        <v>1</v>
      </c>
      <c r="FO28" t="e">
        <f>AND(ConsolidatedEventList!C186,"AAAAAB7r7qo=")</f>
        <v>#VALUE!</v>
      </c>
      <c r="FP28" t="b">
        <f>AND(ConsolidatedEventList!D186,"AAAAAB7r7qs=")</f>
        <v>1</v>
      </c>
      <c r="FQ28" t="b">
        <f>AND(ConsolidatedEventList!E186,"AAAAAB7r7qw=")</f>
        <v>0</v>
      </c>
      <c r="FR28" t="e">
        <f>AND(ConsolidatedEventList!F186,"AAAAAB7r7q0=")</f>
        <v>#VALUE!</v>
      </c>
      <c r="FS28" t="e">
        <f>AND(ConsolidatedEventList!G186,"AAAAAB7r7q4=")</f>
        <v>#VALUE!</v>
      </c>
      <c r="FT28" t="e">
        <f>AND(ConsolidatedEventList!H186,"AAAAAB7r7q8=")</f>
        <v>#VALUE!</v>
      </c>
      <c r="FU28" t="e">
        <f>AND(ConsolidatedEventList!#REF!,"AAAAAB7r7rA=")</f>
        <v>#REF!</v>
      </c>
      <c r="FV28">
        <f>IF(ConsolidatedEventList!187:187,"AAAAAB7r7rE=",0)</f>
        <v>0</v>
      </c>
      <c r="FW28" t="b">
        <f>AND(ConsolidatedEventList!A187,"AAAAAB7r7rI=")</f>
        <v>0</v>
      </c>
      <c r="FX28" t="b">
        <f>AND(ConsolidatedEventList!B187,"AAAAAB7r7rM=")</f>
        <v>1</v>
      </c>
      <c r="FY28" t="e">
        <f>AND(ConsolidatedEventList!C187,"AAAAAB7r7rQ=")</f>
        <v>#VALUE!</v>
      </c>
      <c r="FZ28" t="b">
        <f>AND(ConsolidatedEventList!D187,"AAAAAB7r7rU=")</f>
        <v>1</v>
      </c>
      <c r="GA28" t="b">
        <f>AND(ConsolidatedEventList!E187,"AAAAAB7r7rY=")</f>
        <v>0</v>
      </c>
      <c r="GB28" t="e">
        <f>AND(ConsolidatedEventList!F187,"AAAAAB7r7rc=")</f>
        <v>#VALUE!</v>
      </c>
      <c r="GC28" t="e">
        <f>AND(ConsolidatedEventList!G187,"AAAAAB7r7rg=")</f>
        <v>#VALUE!</v>
      </c>
      <c r="GD28" t="e">
        <f>AND(ConsolidatedEventList!H187,"AAAAAB7r7rk=")</f>
        <v>#VALUE!</v>
      </c>
      <c r="GE28" t="e">
        <f>AND(ConsolidatedEventList!#REF!,"AAAAAB7r7ro=")</f>
        <v>#REF!</v>
      </c>
      <c r="GF28">
        <f>IF(ConsolidatedEventList!188:188,"AAAAAB7r7rs=",0)</f>
        <v>0</v>
      </c>
      <c r="GG28" t="b">
        <f>AND(ConsolidatedEventList!A188,"AAAAAB7r7rw=")</f>
        <v>0</v>
      </c>
      <c r="GH28" t="b">
        <f>AND(ConsolidatedEventList!B188,"AAAAAB7r7r0=")</f>
        <v>1</v>
      </c>
      <c r="GI28" t="e">
        <f>AND(ConsolidatedEventList!C188,"AAAAAB7r7r4=")</f>
        <v>#VALUE!</v>
      </c>
      <c r="GJ28" t="b">
        <f>AND(ConsolidatedEventList!D188,"AAAAAB7r7r8=")</f>
        <v>1</v>
      </c>
      <c r="GK28" t="b">
        <f>AND(ConsolidatedEventList!E188,"AAAAAB7r7sA=")</f>
        <v>0</v>
      </c>
      <c r="GL28" t="e">
        <f>AND(ConsolidatedEventList!F188,"AAAAAB7r7sE=")</f>
        <v>#VALUE!</v>
      </c>
      <c r="GM28" t="e">
        <f>AND(ConsolidatedEventList!G188,"AAAAAB7r7sI=")</f>
        <v>#VALUE!</v>
      </c>
      <c r="GN28" t="e">
        <f>AND(ConsolidatedEventList!H188,"AAAAAB7r7sM=")</f>
        <v>#VALUE!</v>
      </c>
      <c r="GO28" t="e">
        <f>AND(ConsolidatedEventList!#REF!,"AAAAAB7r7sQ=")</f>
        <v>#REF!</v>
      </c>
      <c r="GP28">
        <f>IF(ConsolidatedEventList!189:189,"AAAAAB7r7sU=",0)</f>
        <v>0</v>
      </c>
      <c r="GQ28" t="b">
        <f>AND(ConsolidatedEventList!A189,"AAAAAB7r7sY=")</f>
        <v>0</v>
      </c>
      <c r="GR28" t="b">
        <f>AND(ConsolidatedEventList!B189,"AAAAAB7r7sc=")</f>
        <v>1</v>
      </c>
      <c r="GS28" t="e">
        <f>AND(ConsolidatedEventList!C189,"AAAAAB7r7sg=")</f>
        <v>#VALUE!</v>
      </c>
      <c r="GT28" t="b">
        <f>AND(ConsolidatedEventList!D189,"AAAAAB7r7sk=")</f>
        <v>1</v>
      </c>
      <c r="GU28" t="b">
        <f>AND(ConsolidatedEventList!E189,"AAAAAB7r7so=")</f>
        <v>0</v>
      </c>
      <c r="GV28" t="e">
        <f>AND(ConsolidatedEventList!F189,"AAAAAB7r7ss=")</f>
        <v>#VALUE!</v>
      </c>
      <c r="GW28" t="e">
        <f>AND(ConsolidatedEventList!G189,"AAAAAB7r7sw=")</f>
        <v>#VALUE!</v>
      </c>
      <c r="GX28" t="e">
        <f>AND(ConsolidatedEventList!H189,"AAAAAB7r7s0=")</f>
        <v>#VALUE!</v>
      </c>
      <c r="GY28" t="e">
        <f>AND(ConsolidatedEventList!#REF!,"AAAAAB7r7s4=")</f>
        <v>#REF!</v>
      </c>
      <c r="GZ28">
        <f>IF(ConsolidatedEventList!190:190,"AAAAAB7r7s8=",0)</f>
        <v>0</v>
      </c>
      <c r="HA28" t="b">
        <f>AND(ConsolidatedEventList!A190,"AAAAAB7r7tA=")</f>
        <v>0</v>
      </c>
      <c r="HB28" t="b">
        <f>AND(ConsolidatedEventList!B190,"AAAAAB7r7tE=")</f>
        <v>1</v>
      </c>
      <c r="HC28" t="e">
        <f>AND(ConsolidatedEventList!C190,"AAAAAB7r7tI=")</f>
        <v>#VALUE!</v>
      </c>
      <c r="HD28" t="b">
        <f>AND(ConsolidatedEventList!D190,"AAAAAB7r7tM=")</f>
        <v>1</v>
      </c>
      <c r="HE28" t="b">
        <f>AND(ConsolidatedEventList!E190,"AAAAAB7r7tQ=")</f>
        <v>0</v>
      </c>
      <c r="HF28" t="e">
        <f>AND(ConsolidatedEventList!F190,"AAAAAB7r7tU=")</f>
        <v>#VALUE!</v>
      </c>
      <c r="HG28" t="e">
        <f>AND(ConsolidatedEventList!G190,"AAAAAB7r7tY=")</f>
        <v>#VALUE!</v>
      </c>
      <c r="HH28" t="e">
        <f>AND(ConsolidatedEventList!H190,"AAAAAB7r7tc=")</f>
        <v>#VALUE!</v>
      </c>
      <c r="HI28" t="e">
        <f>AND(ConsolidatedEventList!#REF!,"AAAAAB7r7tg=")</f>
        <v>#REF!</v>
      </c>
      <c r="HJ28">
        <f>IF(ConsolidatedEventList!191:191,"AAAAAB7r7tk=",0)</f>
        <v>0</v>
      </c>
      <c r="HK28" t="b">
        <f>AND(ConsolidatedEventList!A191,"AAAAAB7r7to=")</f>
        <v>0</v>
      </c>
      <c r="HL28" t="b">
        <f>AND(ConsolidatedEventList!B191,"AAAAAB7r7ts=")</f>
        <v>1</v>
      </c>
      <c r="HM28" t="e">
        <f>AND(ConsolidatedEventList!C191,"AAAAAB7r7tw=")</f>
        <v>#VALUE!</v>
      </c>
      <c r="HN28" t="b">
        <f>AND(ConsolidatedEventList!D191,"AAAAAB7r7t0=")</f>
        <v>1</v>
      </c>
      <c r="HO28" t="b">
        <f>AND(ConsolidatedEventList!E191,"AAAAAB7r7t4=")</f>
        <v>0</v>
      </c>
      <c r="HP28" t="e">
        <f>AND(ConsolidatedEventList!F191,"AAAAAB7r7t8=")</f>
        <v>#VALUE!</v>
      </c>
      <c r="HQ28" t="e">
        <f>AND(ConsolidatedEventList!G191,"AAAAAB7r7uA=")</f>
        <v>#VALUE!</v>
      </c>
      <c r="HR28" t="e">
        <f>AND(ConsolidatedEventList!H191,"AAAAAB7r7uE=")</f>
        <v>#VALUE!</v>
      </c>
      <c r="HS28" t="e">
        <f>AND(ConsolidatedEventList!#REF!,"AAAAAB7r7uI=")</f>
        <v>#REF!</v>
      </c>
      <c r="HT28">
        <f>IF(ConsolidatedEventList!192:192,"AAAAAB7r7uM=",0)</f>
        <v>0</v>
      </c>
      <c r="HU28" t="b">
        <f>AND(ConsolidatedEventList!A192,"AAAAAB7r7uQ=")</f>
        <v>0</v>
      </c>
      <c r="HV28" t="b">
        <f>AND(ConsolidatedEventList!B192,"AAAAAB7r7uU=")</f>
        <v>1</v>
      </c>
      <c r="HW28" t="e">
        <f>AND(ConsolidatedEventList!C192,"AAAAAB7r7uY=")</f>
        <v>#VALUE!</v>
      </c>
      <c r="HX28" t="b">
        <f>AND(ConsolidatedEventList!D192,"AAAAAB7r7uc=")</f>
        <v>1</v>
      </c>
      <c r="HY28" t="b">
        <f>AND(ConsolidatedEventList!E192,"AAAAAB7r7ug=")</f>
        <v>0</v>
      </c>
      <c r="HZ28" t="e">
        <f>AND(ConsolidatedEventList!F192,"AAAAAB7r7uk=")</f>
        <v>#VALUE!</v>
      </c>
      <c r="IA28" t="e">
        <f>AND(ConsolidatedEventList!G192,"AAAAAB7r7uo=")</f>
        <v>#VALUE!</v>
      </c>
      <c r="IB28" t="e">
        <f>AND(ConsolidatedEventList!H192,"AAAAAB7r7us=")</f>
        <v>#VALUE!</v>
      </c>
      <c r="IC28" t="e">
        <f>AND(ConsolidatedEventList!#REF!,"AAAAAB7r7uw=")</f>
        <v>#REF!</v>
      </c>
      <c r="ID28">
        <f>IF(ConsolidatedEventList!193:193,"AAAAAB7r7u0=",0)</f>
        <v>0</v>
      </c>
      <c r="IE28" t="b">
        <f>AND(ConsolidatedEventList!A193,"AAAAAB7r7u4=")</f>
        <v>0</v>
      </c>
      <c r="IF28" t="b">
        <f>AND(ConsolidatedEventList!B193,"AAAAAB7r7u8=")</f>
        <v>1</v>
      </c>
      <c r="IG28" t="e">
        <f>AND(ConsolidatedEventList!C193,"AAAAAB7r7vA=")</f>
        <v>#VALUE!</v>
      </c>
      <c r="IH28" t="b">
        <f>AND(ConsolidatedEventList!D193,"AAAAAB7r7vE=")</f>
        <v>1</v>
      </c>
      <c r="II28" t="b">
        <f>AND(ConsolidatedEventList!E193,"AAAAAB7r7vI=")</f>
        <v>0</v>
      </c>
      <c r="IJ28" t="e">
        <f>AND(ConsolidatedEventList!F193,"AAAAAB7r7vM=")</f>
        <v>#VALUE!</v>
      </c>
      <c r="IK28" t="e">
        <f>AND(ConsolidatedEventList!G193,"AAAAAB7r7vQ=")</f>
        <v>#VALUE!</v>
      </c>
      <c r="IL28" t="e">
        <f>AND(ConsolidatedEventList!H193,"AAAAAB7r7vU=")</f>
        <v>#VALUE!</v>
      </c>
      <c r="IM28" t="e">
        <f>AND(ConsolidatedEventList!#REF!,"AAAAAB7r7vY=")</f>
        <v>#REF!</v>
      </c>
      <c r="IN28">
        <f>IF(ConsolidatedEventList!194:194,"AAAAAB7r7vc=",0)</f>
        <v>0</v>
      </c>
      <c r="IO28" t="b">
        <f>AND(ConsolidatedEventList!A194,"AAAAAB7r7vg=")</f>
        <v>0</v>
      </c>
      <c r="IP28" t="b">
        <f>AND(ConsolidatedEventList!B194,"AAAAAB7r7vk=")</f>
        <v>1</v>
      </c>
      <c r="IQ28" t="e">
        <f>AND(ConsolidatedEventList!C194,"AAAAAB7r7vo=")</f>
        <v>#VALUE!</v>
      </c>
      <c r="IR28" t="b">
        <f>AND(ConsolidatedEventList!D194,"AAAAAB7r7vs=")</f>
        <v>1</v>
      </c>
      <c r="IS28" t="b">
        <f>AND(ConsolidatedEventList!E194,"AAAAAB7r7vw=")</f>
        <v>0</v>
      </c>
      <c r="IT28" t="e">
        <f>AND(ConsolidatedEventList!F194,"AAAAAB7r7v0=")</f>
        <v>#VALUE!</v>
      </c>
      <c r="IU28" t="e">
        <f>AND(ConsolidatedEventList!G194,"AAAAAB7r7v4=")</f>
        <v>#VALUE!</v>
      </c>
      <c r="IV28" t="e">
        <f>AND(ConsolidatedEventList!H194,"AAAAAB7r7v8=")</f>
        <v>#VALUE!</v>
      </c>
    </row>
    <row r="29" spans="1:256" x14ac:dyDescent="0.25">
      <c r="A29" t="e">
        <f>AND(ConsolidatedEventList!#REF!,"AAAAADXsfwA=")</f>
        <v>#REF!</v>
      </c>
      <c r="B29" t="str">
        <f>IF(ConsolidatedEventList!195:195,"AAAAADXsfwE=",0)</f>
        <v>AAAAADXsfwE=</v>
      </c>
      <c r="C29" t="b">
        <f>AND(ConsolidatedEventList!A195,"AAAAADXsfwI=")</f>
        <v>0</v>
      </c>
      <c r="D29" t="b">
        <f>AND(ConsolidatedEventList!B195,"AAAAADXsfwM=")</f>
        <v>1</v>
      </c>
      <c r="E29" t="e">
        <f>AND(ConsolidatedEventList!C195,"AAAAADXsfwQ=")</f>
        <v>#VALUE!</v>
      </c>
      <c r="F29" t="b">
        <f>AND(ConsolidatedEventList!D195,"AAAAADXsfwU=")</f>
        <v>1</v>
      </c>
      <c r="G29" t="b">
        <f>AND(ConsolidatedEventList!E195,"AAAAADXsfwY=")</f>
        <v>0</v>
      </c>
      <c r="H29" t="e">
        <f>AND(ConsolidatedEventList!F195,"AAAAADXsfwc=")</f>
        <v>#VALUE!</v>
      </c>
      <c r="I29" t="e">
        <f>AND(ConsolidatedEventList!G195,"AAAAADXsfwg=")</f>
        <v>#VALUE!</v>
      </c>
      <c r="J29" t="e">
        <f>AND(ConsolidatedEventList!H195,"AAAAADXsfwk=")</f>
        <v>#VALUE!</v>
      </c>
      <c r="K29" t="e">
        <f>AND(ConsolidatedEventList!#REF!,"AAAAADXsfwo=")</f>
        <v>#REF!</v>
      </c>
      <c r="L29">
        <f>IF(ConsolidatedEventList!196:196,"AAAAADXsfws=",0)</f>
        <v>0</v>
      </c>
      <c r="M29" t="b">
        <f>AND(ConsolidatedEventList!A196,"AAAAADXsfww=")</f>
        <v>0</v>
      </c>
      <c r="N29" t="b">
        <f>AND(ConsolidatedEventList!B196,"AAAAADXsfw0=")</f>
        <v>1</v>
      </c>
      <c r="O29" t="e">
        <f>AND(ConsolidatedEventList!C196,"AAAAADXsfw4=")</f>
        <v>#VALUE!</v>
      </c>
      <c r="P29" t="b">
        <f>AND(ConsolidatedEventList!D196,"AAAAADXsfw8=")</f>
        <v>1</v>
      </c>
      <c r="Q29" t="b">
        <f>AND(ConsolidatedEventList!E196,"AAAAADXsfxA=")</f>
        <v>0</v>
      </c>
      <c r="R29" t="e">
        <f>AND(ConsolidatedEventList!F196,"AAAAADXsfxE=")</f>
        <v>#VALUE!</v>
      </c>
      <c r="S29" t="e">
        <f>AND(ConsolidatedEventList!G196,"AAAAADXsfxI=")</f>
        <v>#VALUE!</v>
      </c>
      <c r="T29" t="e">
        <f>AND(ConsolidatedEventList!H196,"AAAAADXsfxM=")</f>
        <v>#VALUE!</v>
      </c>
      <c r="U29" t="e">
        <f>AND(ConsolidatedEventList!#REF!,"AAAAADXsfxQ=")</f>
        <v>#REF!</v>
      </c>
      <c r="V29">
        <f>IF(ConsolidatedEventList!197:197,"AAAAADXsfxU=",0)</f>
        <v>0</v>
      </c>
      <c r="W29" t="b">
        <f>AND(ConsolidatedEventList!A197,"AAAAADXsfxY=")</f>
        <v>0</v>
      </c>
      <c r="X29" t="b">
        <f>AND(ConsolidatedEventList!B197,"AAAAADXsfxc=")</f>
        <v>1</v>
      </c>
      <c r="Y29" t="e">
        <f>AND(ConsolidatedEventList!C197,"AAAAADXsfxg=")</f>
        <v>#VALUE!</v>
      </c>
      <c r="Z29" t="b">
        <f>AND(ConsolidatedEventList!D197,"AAAAADXsfxk=")</f>
        <v>1</v>
      </c>
      <c r="AA29" t="b">
        <f>AND(ConsolidatedEventList!E197,"AAAAADXsfxo=")</f>
        <v>0</v>
      </c>
      <c r="AB29" t="e">
        <f>AND(ConsolidatedEventList!F197,"AAAAADXsfxs=")</f>
        <v>#VALUE!</v>
      </c>
      <c r="AC29" t="e">
        <f>AND(ConsolidatedEventList!G197,"AAAAADXsfxw=")</f>
        <v>#VALUE!</v>
      </c>
      <c r="AD29" t="e">
        <f>AND(ConsolidatedEventList!H197,"AAAAADXsfx0=")</f>
        <v>#VALUE!</v>
      </c>
      <c r="AE29" t="e">
        <f>AND(ConsolidatedEventList!#REF!,"AAAAADXsfx4=")</f>
        <v>#REF!</v>
      </c>
      <c r="AF29">
        <f>IF(ConsolidatedEventList!198:198,"AAAAADXsfx8=",0)</f>
        <v>0</v>
      </c>
      <c r="AG29" t="b">
        <f>AND(ConsolidatedEventList!A198,"AAAAADXsfyA=")</f>
        <v>0</v>
      </c>
      <c r="AH29" t="b">
        <f>AND(ConsolidatedEventList!B198,"AAAAADXsfyE=")</f>
        <v>1</v>
      </c>
      <c r="AI29" t="e">
        <f>AND(ConsolidatedEventList!C198,"AAAAADXsfyI=")</f>
        <v>#VALUE!</v>
      </c>
      <c r="AJ29" t="b">
        <f>AND(ConsolidatedEventList!D198,"AAAAADXsfyM=")</f>
        <v>1</v>
      </c>
      <c r="AK29" t="b">
        <f>AND(ConsolidatedEventList!E198,"AAAAADXsfyQ=")</f>
        <v>0</v>
      </c>
      <c r="AL29" t="e">
        <f>AND(ConsolidatedEventList!F198,"AAAAADXsfyU=")</f>
        <v>#VALUE!</v>
      </c>
      <c r="AM29" t="e">
        <f>AND(ConsolidatedEventList!G198,"AAAAADXsfyY=")</f>
        <v>#VALUE!</v>
      </c>
      <c r="AN29" t="e">
        <f>AND(ConsolidatedEventList!H198,"AAAAADXsfyc=")</f>
        <v>#VALUE!</v>
      </c>
      <c r="AO29" t="e">
        <f>AND(ConsolidatedEventList!#REF!,"AAAAADXsfyg=")</f>
        <v>#REF!</v>
      </c>
      <c r="AP29">
        <f>IF(ConsolidatedEventList!199:199,"AAAAADXsfyk=",0)</f>
        <v>0</v>
      </c>
      <c r="AQ29" t="b">
        <f>AND(ConsolidatedEventList!A199,"AAAAADXsfyo=")</f>
        <v>0</v>
      </c>
      <c r="AR29" t="b">
        <f>AND(ConsolidatedEventList!B199,"AAAAADXsfys=")</f>
        <v>1</v>
      </c>
      <c r="AS29" t="e">
        <f>AND(ConsolidatedEventList!C199,"AAAAADXsfyw=")</f>
        <v>#VALUE!</v>
      </c>
      <c r="AT29" t="b">
        <f>AND(ConsolidatedEventList!D199,"AAAAADXsfy0=")</f>
        <v>1</v>
      </c>
      <c r="AU29" t="b">
        <f>AND(ConsolidatedEventList!E199,"AAAAADXsfy4=")</f>
        <v>0</v>
      </c>
      <c r="AV29" t="e">
        <f>AND(ConsolidatedEventList!F199,"AAAAADXsfy8=")</f>
        <v>#VALUE!</v>
      </c>
      <c r="AW29" t="e">
        <f>AND(ConsolidatedEventList!G199,"AAAAADXsfzA=")</f>
        <v>#VALUE!</v>
      </c>
      <c r="AX29" t="e">
        <f>AND(ConsolidatedEventList!H199,"AAAAADXsfzE=")</f>
        <v>#VALUE!</v>
      </c>
      <c r="AY29" t="e">
        <f>AND(ConsolidatedEventList!#REF!,"AAAAADXsfzI=")</f>
        <v>#REF!</v>
      </c>
      <c r="AZ29">
        <f>IF(ConsolidatedEventList!200:200,"AAAAADXsfzM=",0)</f>
        <v>0</v>
      </c>
      <c r="BA29" t="b">
        <f>AND(ConsolidatedEventList!A200,"AAAAADXsfzQ=")</f>
        <v>0</v>
      </c>
      <c r="BB29" t="b">
        <f>AND(ConsolidatedEventList!B200,"AAAAADXsfzU=")</f>
        <v>1</v>
      </c>
      <c r="BC29" t="e">
        <f>AND(ConsolidatedEventList!C200,"AAAAADXsfzY=")</f>
        <v>#VALUE!</v>
      </c>
      <c r="BD29" t="b">
        <f>AND(ConsolidatedEventList!D200,"AAAAADXsfzc=")</f>
        <v>1</v>
      </c>
      <c r="BE29" t="b">
        <f>AND(ConsolidatedEventList!E200,"AAAAADXsfzg=")</f>
        <v>0</v>
      </c>
      <c r="BF29" t="e">
        <f>AND(ConsolidatedEventList!F200,"AAAAADXsfzk=")</f>
        <v>#VALUE!</v>
      </c>
      <c r="BG29" t="e">
        <f>AND(ConsolidatedEventList!G200,"AAAAADXsfzo=")</f>
        <v>#VALUE!</v>
      </c>
      <c r="BH29" t="e">
        <f>AND(ConsolidatedEventList!H200,"AAAAADXsfzs=")</f>
        <v>#VALUE!</v>
      </c>
      <c r="BI29" t="e">
        <f>AND(ConsolidatedEventList!#REF!,"AAAAADXsfzw=")</f>
        <v>#REF!</v>
      </c>
      <c r="BJ29">
        <f>IF(ConsolidatedEventList!201:201,"AAAAADXsfz0=",0)</f>
        <v>0</v>
      </c>
      <c r="BK29" t="b">
        <f>AND(ConsolidatedEventList!A201,"AAAAADXsfz4=")</f>
        <v>0</v>
      </c>
      <c r="BL29" t="b">
        <f>AND(ConsolidatedEventList!B201,"AAAAADXsfz8=")</f>
        <v>1</v>
      </c>
      <c r="BM29" t="e">
        <f>AND(ConsolidatedEventList!C201,"AAAAADXsf0A=")</f>
        <v>#VALUE!</v>
      </c>
      <c r="BN29" t="b">
        <f>AND(ConsolidatedEventList!D201,"AAAAADXsf0E=")</f>
        <v>1</v>
      </c>
      <c r="BO29" t="b">
        <f>AND(ConsolidatedEventList!E201,"AAAAADXsf0I=")</f>
        <v>0</v>
      </c>
      <c r="BP29" t="e">
        <f>AND(ConsolidatedEventList!F201,"AAAAADXsf0M=")</f>
        <v>#VALUE!</v>
      </c>
      <c r="BQ29" t="e">
        <f>AND(ConsolidatedEventList!G201,"AAAAADXsf0Q=")</f>
        <v>#VALUE!</v>
      </c>
      <c r="BR29" t="e">
        <f>AND(ConsolidatedEventList!H201,"AAAAADXsf0U=")</f>
        <v>#VALUE!</v>
      </c>
      <c r="BS29" t="e">
        <f>AND(ConsolidatedEventList!#REF!,"AAAAADXsf0Y=")</f>
        <v>#REF!</v>
      </c>
      <c r="BT29" t="e">
        <f>IF(ConsolidatedEventList!#REF!,"AAAAADXsf0c=",0)</f>
        <v>#REF!</v>
      </c>
      <c r="BU29" t="e">
        <f>AND(ConsolidatedEventList!#REF!,"AAAAADXsf0g=")</f>
        <v>#REF!</v>
      </c>
      <c r="BV29" t="e">
        <f>AND(ConsolidatedEventList!#REF!,"AAAAADXsf0k=")</f>
        <v>#REF!</v>
      </c>
      <c r="BW29" t="e">
        <f>AND(ConsolidatedEventList!#REF!,"AAAAADXsf0o=")</f>
        <v>#REF!</v>
      </c>
      <c r="BX29" t="e">
        <f>AND(ConsolidatedEventList!#REF!,"AAAAADXsf0s=")</f>
        <v>#REF!</v>
      </c>
      <c r="BY29" t="e">
        <f>AND(ConsolidatedEventList!#REF!,"AAAAADXsf0w=")</f>
        <v>#REF!</v>
      </c>
      <c r="BZ29" t="e">
        <f>AND(ConsolidatedEventList!#REF!,"AAAAADXsf00=")</f>
        <v>#REF!</v>
      </c>
      <c r="CA29" t="e">
        <f>AND(ConsolidatedEventList!#REF!,"AAAAADXsf04=")</f>
        <v>#REF!</v>
      </c>
      <c r="CB29" t="e">
        <f>AND(ConsolidatedEventList!#REF!,"AAAAADXsf08=")</f>
        <v>#REF!</v>
      </c>
      <c r="CC29" t="e">
        <f>AND(ConsolidatedEventList!#REF!,"AAAAADXsf1A=")</f>
        <v>#REF!</v>
      </c>
      <c r="CD29" t="e">
        <f>IF(ConsolidatedEventList!#REF!,"AAAAADXsf1E=",0)</f>
        <v>#REF!</v>
      </c>
      <c r="CE29" t="e">
        <f>AND(ConsolidatedEventList!#REF!,"AAAAADXsf1I=")</f>
        <v>#REF!</v>
      </c>
      <c r="CF29" t="e">
        <f>AND(ConsolidatedEventList!#REF!,"AAAAADXsf1M=")</f>
        <v>#REF!</v>
      </c>
      <c r="CG29" t="e">
        <f>AND(ConsolidatedEventList!#REF!,"AAAAADXsf1Q=")</f>
        <v>#REF!</v>
      </c>
      <c r="CH29" t="e">
        <f>AND(ConsolidatedEventList!#REF!,"AAAAADXsf1U=")</f>
        <v>#REF!</v>
      </c>
      <c r="CI29" t="e">
        <f>AND(ConsolidatedEventList!#REF!,"AAAAADXsf1Y=")</f>
        <v>#REF!</v>
      </c>
      <c r="CJ29" t="e">
        <f>AND(ConsolidatedEventList!#REF!,"AAAAADXsf1c=")</f>
        <v>#REF!</v>
      </c>
      <c r="CK29" t="e">
        <f>AND(ConsolidatedEventList!#REF!,"AAAAADXsf1g=")</f>
        <v>#REF!</v>
      </c>
      <c r="CL29" t="e">
        <f>AND(ConsolidatedEventList!#REF!,"AAAAADXsf1k=")</f>
        <v>#REF!</v>
      </c>
      <c r="CM29" t="e">
        <f>AND(ConsolidatedEventList!#REF!,"AAAAADXsf1o=")</f>
        <v>#REF!</v>
      </c>
      <c r="CN29">
        <f>IF(ConsolidatedEventList!202:202,"AAAAADXsf1s=",0)</f>
        <v>0</v>
      </c>
      <c r="CO29" t="b">
        <f>AND(ConsolidatedEventList!A202,"AAAAADXsf1w=")</f>
        <v>0</v>
      </c>
      <c r="CP29" t="b">
        <f>AND(ConsolidatedEventList!B202,"AAAAADXsf10=")</f>
        <v>1</v>
      </c>
      <c r="CQ29" t="e">
        <f>AND(ConsolidatedEventList!C202,"AAAAADXsf14=")</f>
        <v>#VALUE!</v>
      </c>
      <c r="CR29" t="e">
        <f>AND(ConsolidatedEventList!D202,"AAAAADXsf18=")</f>
        <v>#VALUE!</v>
      </c>
      <c r="CS29" t="b">
        <f>AND(ConsolidatedEventList!E202,"AAAAADXsf2A=")</f>
        <v>0</v>
      </c>
      <c r="CT29" t="e">
        <f>AND(ConsolidatedEventList!F202,"AAAAADXsf2E=")</f>
        <v>#VALUE!</v>
      </c>
      <c r="CU29" t="e">
        <f>AND(ConsolidatedEventList!G202,"AAAAADXsf2I=")</f>
        <v>#VALUE!</v>
      </c>
      <c r="CV29" t="e">
        <f>AND(ConsolidatedEventList!H202,"AAAAADXsf2M=")</f>
        <v>#VALUE!</v>
      </c>
      <c r="CW29" t="e">
        <f>AND(ConsolidatedEventList!#REF!,"AAAAADXsf2Q=")</f>
        <v>#REF!</v>
      </c>
      <c r="CX29">
        <f>IF(ConsolidatedEventList!203:203,"AAAAADXsf2U=",0)</f>
        <v>0</v>
      </c>
      <c r="CY29" t="b">
        <f>AND(ConsolidatedEventList!A203,"AAAAADXsf2Y=")</f>
        <v>0</v>
      </c>
      <c r="CZ29" t="b">
        <f>AND(ConsolidatedEventList!B203,"AAAAADXsf2c=")</f>
        <v>1</v>
      </c>
      <c r="DA29" t="e">
        <f>AND(ConsolidatedEventList!C203,"AAAAADXsf2g=")</f>
        <v>#VALUE!</v>
      </c>
      <c r="DB29" t="e">
        <f>AND(ConsolidatedEventList!D203,"AAAAADXsf2k=")</f>
        <v>#VALUE!</v>
      </c>
      <c r="DC29" t="b">
        <f>AND(ConsolidatedEventList!E203,"AAAAADXsf2o=")</f>
        <v>0</v>
      </c>
      <c r="DD29" t="e">
        <f>AND(ConsolidatedEventList!F203,"AAAAADXsf2s=")</f>
        <v>#VALUE!</v>
      </c>
      <c r="DE29" t="e">
        <f>AND(ConsolidatedEventList!G203,"AAAAADXsf2w=")</f>
        <v>#VALUE!</v>
      </c>
      <c r="DF29" t="e">
        <f>AND(ConsolidatedEventList!H203,"AAAAADXsf20=")</f>
        <v>#VALUE!</v>
      </c>
      <c r="DG29" t="e">
        <f>AND(ConsolidatedEventList!#REF!,"AAAAADXsf24=")</f>
        <v>#REF!</v>
      </c>
      <c r="DH29">
        <f>IF(ConsolidatedEventList!204:204,"AAAAADXsf28=",0)</f>
        <v>0</v>
      </c>
      <c r="DI29" t="b">
        <f>AND(ConsolidatedEventList!A204,"AAAAADXsf3A=")</f>
        <v>0</v>
      </c>
      <c r="DJ29" t="b">
        <f>AND(ConsolidatedEventList!B204,"AAAAADXsf3E=")</f>
        <v>1</v>
      </c>
      <c r="DK29" t="e">
        <f>AND(ConsolidatedEventList!C204,"AAAAADXsf3I=")</f>
        <v>#VALUE!</v>
      </c>
      <c r="DL29" t="e">
        <f>AND(ConsolidatedEventList!D204,"AAAAADXsf3M=")</f>
        <v>#VALUE!</v>
      </c>
      <c r="DM29" t="b">
        <f>AND(ConsolidatedEventList!E204,"AAAAADXsf3Q=")</f>
        <v>0</v>
      </c>
      <c r="DN29" t="e">
        <f>AND(ConsolidatedEventList!F204,"AAAAADXsf3U=")</f>
        <v>#VALUE!</v>
      </c>
      <c r="DO29" t="e">
        <f>AND(ConsolidatedEventList!G204,"AAAAADXsf3Y=")</f>
        <v>#VALUE!</v>
      </c>
      <c r="DP29" t="e">
        <f>AND(ConsolidatedEventList!H204,"AAAAADXsf3c=")</f>
        <v>#VALUE!</v>
      </c>
      <c r="DQ29" t="e">
        <f>AND(ConsolidatedEventList!#REF!,"AAAAADXsf3g=")</f>
        <v>#REF!</v>
      </c>
      <c r="DR29">
        <f>IF(ConsolidatedEventList!205:205,"AAAAADXsf3k=",0)</f>
        <v>0</v>
      </c>
      <c r="DS29" t="b">
        <f>AND(ConsolidatedEventList!A205,"AAAAADXsf3o=")</f>
        <v>0</v>
      </c>
      <c r="DT29" t="b">
        <f>AND(ConsolidatedEventList!B205,"AAAAADXsf3s=")</f>
        <v>1</v>
      </c>
      <c r="DU29" t="e">
        <f>AND(ConsolidatedEventList!C205,"AAAAADXsf3w=")</f>
        <v>#VALUE!</v>
      </c>
      <c r="DV29" t="e">
        <f>AND(ConsolidatedEventList!D205,"AAAAADXsf30=")</f>
        <v>#VALUE!</v>
      </c>
      <c r="DW29" t="b">
        <f>AND(ConsolidatedEventList!E205,"AAAAADXsf34=")</f>
        <v>0</v>
      </c>
      <c r="DX29" t="e">
        <f>AND(ConsolidatedEventList!F205,"AAAAADXsf38=")</f>
        <v>#VALUE!</v>
      </c>
      <c r="DY29" t="e">
        <f>AND(ConsolidatedEventList!G205,"AAAAADXsf4A=")</f>
        <v>#VALUE!</v>
      </c>
      <c r="DZ29" t="e">
        <f>AND(ConsolidatedEventList!H205,"AAAAADXsf4E=")</f>
        <v>#VALUE!</v>
      </c>
      <c r="EA29" t="e">
        <f>AND(ConsolidatedEventList!#REF!,"AAAAADXsf4I=")</f>
        <v>#REF!</v>
      </c>
      <c r="EB29">
        <f>IF(ConsolidatedEventList!206:206,"AAAAADXsf4M=",0)</f>
        <v>0</v>
      </c>
      <c r="EC29" t="b">
        <f>AND(ConsolidatedEventList!A206,"AAAAADXsf4Q=")</f>
        <v>0</v>
      </c>
      <c r="ED29" t="b">
        <f>AND(ConsolidatedEventList!B206,"AAAAADXsf4U=")</f>
        <v>1</v>
      </c>
      <c r="EE29" t="e">
        <f>AND(ConsolidatedEventList!C206,"AAAAADXsf4Y=")</f>
        <v>#VALUE!</v>
      </c>
      <c r="EF29" t="e">
        <f>AND(ConsolidatedEventList!D206,"AAAAADXsf4c=")</f>
        <v>#VALUE!</v>
      </c>
      <c r="EG29" t="b">
        <f>AND(ConsolidatedEventList!E206,"AAAAADXsf4g=")</f>
        <v>0</v>
      </c>
      <c r="EH29" t="e">
        <f>AND(ConsolidatedEventList!F206,"AAAAADXsf4k=")</f>
        <v>#VALUE!</v>
      </c>
      <c r="EI29" t="e">
        <f>AND(ConsolidatedEventList!G206,"AAAAADXsf4o=")</f>
        <v>#VALUE!</v>
      </c>
      <c r="EJ29" t="e">
        <f>AND(ConsolidatedEventList!H206,"AAAAADXsf4s=")</f>
        <v>#VALUE!</v>
      </c>
      <c r="EK29" t="e">
        <f>AND(ConsolidatedEventList!#REF!,"AAAAADXsf4w=")</f>
        <v>#REF!</v>
      </c>
      <c r="EL29">
        <f>IF(ConsolidatedEventList!207:207,"AAAAADXsf40=",0)</f>
        <v>0</v>
      </c>
      <c r="EM29" t="b">
        <f>AND(ConsolidatedEventList!A207,"AAAAADXsf44=")</f>
        <v>0</v>
      </c>
      <c r="EN29" t="b">
        <f>AND(ConsolidatedEventList!B207,"AAAAADXsf48=")</f>
        <v>1</v>
      </c>
      <c r="EO29" t="e">
        <f>AND(ConsolidatedEventList!C207,"AAAAADXsf5A=")</f>
        <v>#VALUE!</v>
      </c>
      <c r="EP29" t="e">
        <f>AND(ConsolidatedEventList!D207,"AAAAADXsf5E=")</f>
        <v>#VALUE!</v>
      </c>
      <c r="EQ29" t="b">
        <f>AND(ConsolidatedEventList!E207,"AAAAADXsf5I=")</f>
        <v>0</v>
      </c>
      <c r="ER29" t="e">
        <f>AND(ConsolidatedEventList!F207,"AAAAADXsf5M=")</f>
        <v>#VALUE!</v>
      </c>
      <c r="ES29" t="e">
        <f>AND(ConsolidatedEventList!G207,"AAAAADXsf5Q=")</f>
        <v>#VALUE!</v>
      </c>
      <c r="ET29" t="e">
        <f>AND(ConsolidatedEventList!H207,"AAAAADXsf5U=")</f>
        <v>#VALUE!</v>
      </c>
      <c r="EU29" t="e">
        <f>AND(ConsolidatedEventList!#REF!,"AAAAADXsf5Y=")</f>
        <v>#REF!</v>
      </c>
      <c r="EV29">
        <f>IF(ConsolidatedEventList!208:208,"AAAAADXsf5c=",0)</f>
        <v>0</v>
      </c>
      <c r="EW29" t="b">
        <f>AND(ConsolidatedEventList!A208,"AAAAADXsf5g=")</f>
        <v>0</v>
      </c>
      <c r="EX29" t="b">
        <f>AND(ConsolidatedEventList!B208,"AAAAADXsf5k=")</f>
        <v>1</v>
      </c>
      <c r="EY29" t="e">
        <f>AND(ConsolidatedEventList!C208,"AAAAADXsf5o=")</f>
        <v>#VALUE!</v>
      </c>
      <c r="EZ29" t="e">
        <f>AND(ConsolidatedEventList!D208,"AAAAADXsf5s=")</f>
        <v>#VALUE!</v>
      </c>
      <c r="FA29" t="b">
        <f>AND(ConsolidatedEventList!E208,"AAAAADXsf5w=")</f>
        <v>0</v>
      </c>
      <c r="FB29" t="e">
        <f>AND(ConsolidatedEventList!F208,"AAAAADXsf50=")</f>
        <v>#VALUE!</v>
      </c>
      <c r="FC29" t="e">
        <f>AND(ConsolidatedEventList!G208,"AAAAADXsf54=")</f>
        <v>#VALUE!</v>
      </c>
      <c r="FD29" t="e">
        <f>AND(ConsolidatedEventList!H208,"AAAAADXsf58=")</f>
        <v>#VALUE!</v>
      </c>
      <c r="FE29" t="e">
        <f>AND(ConsolidatedEventList!#REF!,"AAAAADXsf6A=")</f>
        <v>#REF!</v>
      </c>
      <c r="FF29">
        <f>IF(ConsolidatedEventList!209:209,"AAAAADXsf6E=",0)</f>
        <v>0</v>
      </c>
      <c r="FG29" t="b">
        <f>AND(ConsolidatedEventList!A209,"AAAAADXsf6I=")</f>
        <v>0</v>
      </c>
      <c r="FH29" t="b">
        <f>AND(ConsolidatedEventList!B209,"AAAAADXsf6M=")</f>
        <v>1</v>
      </c>
      <c r="FI29" t="e">
        <f>AND(ConsolidatedEventList!C209,"AAAAADXsf6Q=")</f>
        <v>#VALUE!</v>
      </c>
      <c r="FJ29" t="e">
        <f>AND(ConsolidatedEventList!D209,"AAAAADXsf6U=")</f>
        <v>#VALUE!</v>
      </c>
      <c r="FK29" t="b">
        <f>AND(ConsolidatedEventList!E209,"AAAAADXsf6Y=")</f>
        <v>0</v>
      </c>
      <c r="FL29" t="e">
        <f>AND(ConsolidatedEventList!F209,"AAAAADXsf6c=")</f>
        <v>#VALUE!</v>
      </c>
      <c r="FM29" t="e">
        <f>AND(ConsolidatedEventList!G209,"AAAAADXsf6g=")</f>
        <v>#VALUE!</v>
      </c>
      <c r="FN29" t="e">
        <f>AND(ConsolidatedEventList!H209,"AAAAADXsf6k=")</f>
        <v>#VALUE!</v>
      </c>
      <c r="FO29" t="e">
        <f>AND(ConsolidatedEventList!#REF!,"AAAAADXsf6o=")</f>
        <v>#REF!</v>
      </c>
      <c r="FP29">
        <f>IF(ConsolidatedEventList!210:210,"AAAAADXsf6s=",0)</f>
        <v>0</v>
      </c>
      <c r="FQ29" t="b">
        <f>AND(ConsolidatedEventList!A210,"AAAAADXsf6w=")</f>
        <v>0</v>
      </c>
      <c r="FR29" t="b">
        <f>AND(ConsolidatedEventList!B210,"AAAAADXsf60=")</f>
        <v>1</v>
      </c>
      <c r="FS29" t="e">
        <f>AND(ConsolidatedEventList!C210,"AAAAADXsf64=")</f>
        <v>#VALUE!</v>
      </c>
      <c r="FT29" t="e">
        <f>AND(ConsolidatedEventList!D210,"AAAAADXsf68=")</f>
        <v>#VALUE!</v>
      </c>
      <c r="FU29" t="b">
        <f>AND(ConsolidatedEventList!E210,"AAAAADXsf7A=")</f>
        <v>0</v>
      </c>
      <c r="FV29" t="e">
        <f>AND(ConsolidatedEventList!F210,"AAAAADXsf7E=")</f>
        <v>#VALUE!</v>
      </c>
      <c r="FW29" t="e">
        <f>AND(ConsolidatedEventList!G210,"AAAAADXsf7I=")</f>
        <v>#VALUE!</v>
      </c>
      <c r="FX29" t="e">
        <f>AND(ConsolidatedEventList!H210,"AAAAADXsf7M=")</f>
        <v>#VALUE!</v>
      </c>
      <c r="FY29" t="e">
        <f>AND(ConsolidatedEventList!#REF!,"AAAAADXsf7Q=")</f>
        <v>#REF!</v>
      </c>
      <c r="FZ29">
        <f>IF(ConsolidatedEventList!211:211,"AAAAADXsf7U=",0)</f>
        <v>0</v>
      </c>
      <c r="GA29" t="b">
        <f>AND(ConsolidatedEventList!A211,"AAAAADXsf7Y=")</f>
        <v>0</v>
      </c>
      <c r="GB29" t="b">
        <f>AND(ConsolidatedEventList!B211,"AAAAADXsf7c=")</f>
        <v>1</v>
      </c>
      <c r="GC29" t="e">
        <f>AND(ConsolidatedEventList!C211,"AAAAADXsf7g=")</f>
        <v>#VALUE!</v>
      </c>
      <c r="GD29" t="e">
        <f>AND(ConsolidatedEventList!D211,"AAAAADXsf7k=")</f>
        <v>#VALUE!</v>
      </c>
      <c r="GE29" t="b">
        <f>AND(ConsolidatedEventList!E211,"AAAAADXsf7o=")</f>
        <v>0</v>
      </c>
      <c r="GF29" t="e">
        <f>AND(ConsolidatedEventList!F211,"AAAAADXsf7s=")</f>
        <v>#VALUE!</v>
      </c>
      <c r="GG29" t="e">
        <f>AND(ConsolidatedEventList!G211,"AAAAADXsf7w=")</f>
        <v>#VALUE!</v>
      </c>
      <c r="GH29" t="e">
        <f>AND(ConsolidatedEventList!H211,"AAAAADXsf70=")</f>
        <v>#VALUE!</v>
      </c>
      <c r="GI29" t="e">
        <f>AND(ConsolidatedEventList!#REF!,"AAAAADXsf74=")</f>
        <v>#REF!</v>
      </c>
      <c r="GJ29">
        <f>IF(ConsolidatedEventList!212:212,"AAAAADXsf78=",0)</f>
        <v>0</v>
      </c>
      <c r="GK29" t="b">
        <f>AND(ConsolidatedEventList!A212,"AAAAADXsf8A=")</f>
        <v>0</v>
      </c>
      <c r="GL29" t="b">
        <f>AND(ConsolidatedEventList!B212,"AAAAADXsf8E=")</f>
        <v>1</v>
      </c>
      <c r="GM29" t="e">
        <f>AND(ConsolidatedEventList!C212,"AAAAADXsf8I=")</f>
        <v>#VALUE!</v>
      </c>
      <c r="GN29" t="e">
        <f>AND(ConsolidatedEventList!D212,"AAAAADXsf8M=")</f>
        <v>#VALUE!</v>
      </c>
      <c r="GO29" t="b">
        <f>AND(ConsolidatedEventList!E212,"AAAAADXsf8Q=")</f>
        <v>0</v>
      </c>
      <c r="GP29" t="e">
        <f>AND(ConsolidatedEventList!F212,"AAAAADXsf8U=")</f>
        <v>#VALUE!</v>
      </c>
      <c r="GQ29" t="e">
        <f>AND(ConsolidatedEventList!G212,"AAAAADXsf8Y=")</f>
        <v>#VALUE!</v>
      </c>
      <c r="GR29" t="e">
        <f>AND(ConsolidatedEventList!H212,"AAAAADXsf8c=")</f>
        <v>#VALUE!</v>
      </c>
      <c r="GS29" t="e">
        <f>AND(ConsolidatedEventList!#REF!,"AAAAADXsf8g=")</f>
        <v>#REF!</v>
      </c>
      <c r="GT29">
        <f>IF(ConsolidatedEventList!213:213,"AAAAADXsf8k=",0)</f>
        <v>0</v>
      </c>
      <c r="GU29" t="b">
        <f>AND(ConsolidatedEventList!A213,"AAAAADXsf8o=")</f>
        <v>0</v>
      </c>
      <c r="GV29" t="b">
        <f>AND(ConsolidatedEventList!B213,"AAAAADXsf8s=")</f>
        <v>1</v>
      </c>
      <c r="GW29" t="e">
        <f>AND(ConsolidatedEventList!C213,"AAAAADXsf8w=")</f>
        <v>#VALUE!</v>
      </c>
      <c r="GX29" t="e">
        <f>AND(ConsolidatedEventList!D213,"AAAAADXsf80=")</f>
        <v>#VALUE!</v>
      </c>
      <c r="GY29" t="b">
        <f>AND(ConsolidatedEventList!E213,"AAAAADXsf84=")</f>
        <v>0</v>
      </c>
      <c r="GZ29" t="e">
        <f>AND(ConsolidatedEventList!F213,"AAAAADXsf88=")</f>
        <v>#VALUE!</v>
      </c>
      <c r="HA29" t="e">
        <f>AND(ConsolidatedEventList!G213,"AAAAADXsf9A=")</f>
        <v>#VALUE!</v>
      </c>
      <c r="HB29" t="e">
        <f>AND(ConsolidatedEventList!H213,"AAAAADXsf9E=")</f>
        <v>#VALUE!</v>
      </c>
      <c r="HC29" t="e">
        <f>AND(ConsolidatedEventList!#REF!,"AAAAADXsf9I=")</f>
        <v>#REF!</v>
      </c>
      <c r="HD29">
        <f>IF(ConsolidatedEventList!214:214,"AAAAADXsf9M=",0)</f>
        <v>0</v>
      </c>
      <c r="HE29" t="b">
        <f>AND(ConsolidatedEventList!A214,"AAAAADXsf9Q=")</f>
        <v>0</v>
      </c>
      <c r="HF29" t="b">
        <f>AND(ConsolidatedEventList!B214,"AAAAADXsf9U=")</f>
        <v>1</v>
      </c>
      <c r="HG29" t="e">
        <f>AND(ConsolidatedEventList!C214,"AAAAADXsf9Y=")</f>
        <v>#VALUE!</v>
      </c>
      <c r="HH29" t="e">
        <f>AND(ConsolidatedEventList!D214,"AAAAADXsf9c=")</f>
        <v>#VALUE!</v>
      </c>
      <c r="HI29" t="b">
        <f>AND(ConsolidatedEventList!E214,"AAAAADXsf9g=")</f>
        <v>0</v>
      </c>
      <c r="HJ29" t="e">
        <f>AND(ConsolidatedEventList!F214,"AAAAADXsf9k=")</f>
        <v>#VALUE!</v>
      </c>
      <c r="HK29" t="e">
        <f>AND(ConsolidatedEventList!G214,"AAAAADXsf9o=")</f>
        <v>#VALUE!</v>
      </c>
      <c r="HL29" t="e">
        <f>AND(ConsolidatedEventList!H214,"AAAAADXsf9s=")</f>
        <v>#VALUE!</v>
      </c>
      <c r="HM29" t="e">
        <f>AND(ConsolidatedEventList!#REF!,"AAAAADXsf9w=")</f>
        <v>#REF!</v>
      </c>
      <c r="HN29">
        <f>IF(ConsolidatedEventList!215:215,"AAAAADXsf90=",0)</f>
        <v>0</v>
      </c>
      <c r="HO29" t="b">
        <f>AND(ConsolidatedEventList!A215,"AAAAADXsf94=")</f>
        <v>0</v>
      </c>
      <c r="HP29" t="b">
        <f>AND(ConsolidatedEventList!B215,"AAAAADXsf98=")</f>
        <v>1</v>
      </c>
      <c r="HQ29" t="e">
        <f>AND(ConsolidatedEventList!C215,"AAAAADXsf+A=")</f>
        <v>#VALUE!</v>
      </c>
      <c r="HR29" t="e">
        <f>AND(ConsolidatedEventList!D215,"AAAAADXsf+E=")</f>
        <v>#VALUE!</v>
      </c>
      <c r="HS29" t="b">
        <f>AND(ConsolidatedEventList!E215,"AAAAADXsf+I=")</f>
        <v>0</v>
      </c>
      <c r="HT29" t="e">
        <f>AND(ConsolidatedEventList!F215,"AAAAADXsf+M=")</f>
        <v>#VALUE!</v>
      </c>
      <c r="HU29" t="e">
        <f>AND(ConsolidatedEventList!G215,"AAAAADXsf+Q=")</f>
        <v>#VALUE!</v>
      </c>
      <c r="HV29" t="e">
        <f>AND(ConsolidatedEventList!H215,"AAAAADXsf+U=")</f>
        <v>#VALUE!</v>
      </c>
      <c r="HW29" t="e">
        <f>AND(ConsolidatedEventList!#REF!,"AAAAADXsf+Y=")</f>
        <v>#REF!</v>
      </c>
      <c r="HX29">
        <f>IF(ConsolidatedEventList!216:216,"AAAAADXsf+c=",0)</f>
        <v>0</v>
      </c>
      <c r="HY29" t="b">
        <f>AND(ConsolidatedEventList!A216,"AAAAADXsf+g=")</f>
        <v>0</v>
      </c>
      <c r="HZ29" t="b">
        <f>AND(ConsolidatedEventList!B216,"AAAAADXsf+k=")</f>
        <v>1</v>
      </c>
      <c r="IA29" t="e">
        <f>AND(ConsolidatedEventList!C216,"AAAAADXsf+o=")</f>
        <v>#VALUE!</v>
      </c>
      <c r="IB29" t="e">
        <f>AND(ConsolidatedEventList!D216,"AAAAADXsf+s=")</f>
        <v>#VALUE!</v>
      </c>
      <c r="IC29" t="b">
        <f>AND(ConsolidatedEventList!E216,"AAAAADXsf+w=")</f>
        <v>0</v>
      </c>
      <c r="ID29" t="e">
        <f>AND(ConsolidatedEventList!F216,"AAAAADXsf+0=")</f>
        <v>#VALUE!</v>
      </c>
      <c r="IE29" t="e">
        <f>AND(ConsolidatedEventList!G216,"AAAAADXsf+4=")</f>
        <v>#VALUE!</v>
      </c>
      <c r="IF29" t="e">
        <f>AND(ConsolidatedEventList!H216,"AAAAADXsf+8=")</f>
        <v>#VALUE!</v>
      </c>
      <c r="IG29" t="e">
        <f>AND(ConsolidatedEventList!#REF!,"AAAAADXsf/A=")</f>
        <v>#REF!</v>
      </c>
      <c r="IH29">
        <f>IF(ConsolidatedEventList!217:217,"AAAAADXsf/E=",0)</f>
        <v>0</v>
      </c>
      <c r="II29" t="b">
        <f>AND(ConsolidatedEventList!A217,"AAAAADXsf/I=")</f>
        <v>0</v>
      </c>
      <c r="IJ29" t="b">
        <f>AND(ConsolidatedEventList!B217,"AAAAADXsf/M=")</f>
        <v>1</v>
      </c>
      <c r="IK29" t="e">
        <f>AND(ConsolidatedEventList!C217,"AAAAADXsf/Q=")</f>
        <v>#VALUE!</v>
      </c>
      <c r="IL29" t="e">
        <f>AND(ConsolidatedEventList!D217,"AAAAADXsf/U=")</f>
        <v>#VALUE!</v>
      </c>
      <c r="IM29" t="b">
        <f>AND(ConsolidatedEventList!E217,"AAAAADXsf/Y=")</f>
        <v>0</v>
      </c>
      <c r="IN29" t="e">
        <f>AND(ConsolidatedEventList!F217,"AAAAADXsf/c=")</f>
        <v>#VALUE!</v>
      </c>
      <c r="IO29" t="e">
        <f>AND(ConsolidatedEventList!G217,"AAAAADXsf/g=")</f>
        <v>#VALUE!</v>
      </c>
      <c r="IP29" t="e">
        <f>AND(ConsolidatedEventList!H217,"AAAAADXsf/k=")</f>
        <v>#VALUE!</v>
      </c>
      <c r="IQ29" t="e">
        <f>AND(ConsolidatedEventList!#REF!,"AAAAADXsf/o=")</f>
        <v>#REF!</v>
      </c>
      <c r="IR29">
        <f>IF(ConsolidatedEventList!218:218,"AAAAADXsf/s=",0)</f>
        <v>0</v>
      </c>
      <c r="IS29" t="b">
        <f>AND(ConsolidatedEventList!A218,"AAAAADXsf/w=")</f>
        <v>0</v>
      </c>
      <c r="IT29" t="b">
        <f>AND(ConsolidatedEventList!B218,"AAAAADXsf/0=")</f>
        <v>1</v>
      </c>
      <c r="IU29" t="e">
        <f>AND(ConsolidatedEventList!C218,"AAAAADXsf/4=")</f>
        <v>#VALUE!</v>
      </c>
      <c r="IV29" t="e">
        <f>AND(ConsolidatedEventList!D218,"AAAAADXsf/8=")</f>
        <v>#VALUE!</v>
      </c>
    </row>
    <row r="30" spans="1:256" x14ac:dyDescent="0.25">
      <c r="A30" t="b">
        <f>AND(ConsolidatedEventList!E218,"AAAAAH14ZwA=")</f>
        <v>0</v>
      </c>
      <c r="B30" t="e">
        <f>AND(ConsolidatedEventList!F218,"AAAAAH14ZwE=")</f>
        <v>#VALUE!</v>
      </c>
      <c r="C30" t="e">
        <f>AND(ConsolidatedEventList!G218,"AAAAAH14ZwI=")</f>
        <v>#VALUE!</v>
      </c>
      <c r="D30" t="e">
        <f>AND(ConsolidatedEventList!H218,"AAAAAH14ZwM=")</f>
        <v>#VALUE!</v>
      </c>
      <c r="E30" t="e">
        <f>AND(ConsolidatedEventList!#REF!,"AAAAAH14ZwQ=")</f>
        <v>#REF!</v>
      </c>
      <c r="F30">
        <f>IF(ConsolidatedEventList!219:219,"AAAAAH14ZwU=",0)</f>
        <v>0</v>
      </c>
      <c r="G30" t="b">
        <f>AND(ConsolidatedEventList!A219,"AAAAAH14ZwY=")</f>
        <v>0</v>
      </c>
      <c r="H30" t="b">
        <f>AND(ConsolidatedEventList!B219,"AAAAAH14Zwc=")</f>
        <v>1</v>
      </c>
      <c r="I30" t="e">
        <f>AND(ConsolidatedEventList!C219,"AAAAAH14Zwg=")</f>
        <v>#VALUE!</v>
      </c>
      <c r="J30" t="e">
        <f>AND(ConsolidatedEventList!D219,"AAAAAH14Zwk=")</f>
        <v>#VALUE!</v>
      </c>
      <c r="K30" t="b">
        <f>AND(ConsolidatedEventList!E219,"AAAAAH14Zwo=")</f>
        <v>0</v>
      </c>
      <c r="L30" t="e">
        <f>AND(ConsolidatedEventList!F219,"AAAAAH14Zws=")</f>
        <v>#VALUE!</v>
      </c>
      <c r="M30" t="e">
        <f>AND(ConsolidatedEventList!G219,"AAAAAH14Zww=")</f>
        <v>#VALUE!</v>
      </c>
      <c r="N30" t="e">
        <f>AND(ConsolidatedEventList!H219,"AAAAAH14Zw0=")</f>
        <v>#VALUE!</v>
      </c>
      <c r="O30" t="e">
        <f>AND(ConsolidatedEventList!#REF!,"AAAAAH14Zw4=")</f>
        <v>#REF!</v>
      </c>
      <c r="P30">
        <f>IF(ConsolidatedEventList!220:220,"AAAAAH14Zw8=",0)</f>
        <v>0</v>
      </c>
      <c r="Q30" t="b">
        <f>AND(ConsolidatedEventList!A220,"AAAAAH14ZxA=")</f>
        <v>0</v>
      </c>
      <c r="R30" t="b">
        <f>AND(ConsolidatedEventList!B220,"AAAAAH14ZxE=")</f>
        <v>1</v>
      </c>
      <c r="S30" t="e">
        <f>AND(ConsolidatedEventList!C220,"AAAAAH14ZxI=")</f>
        <v>#VALUE!</v>
      </c>
      <c r="T30" t="e">
        <f>AND(ConsolidatedEventList!D220,"AAAAAH14ZxM=")</f>
        <v>#VALUE!</v>
      </c>
      <c r="U30" t="b">
        <f>AND(ConsolidatedEventList!E220,"AAAAAH14ZxQ=")</f>
        <v>0</v>
      </c>
      <c r="V30" t="e">
        <f>AND(ConsolidatedEventList!F220,"AAAAAH14ZxU=")</f>
        <v>#VALUE!</v>
      </c>
      <c r="W30" t="e">
        <f>AND(ConsolidatedEventList!G220,"AAAAAH14ZxY=")</f>
        <v>#VALUE!</v>
      </c>
      <c r="X30" t="e">
        <f>AND(ConsolidatedEventList!H220,"AAAAAH14Zxc=")</f>
        <v>#VALUE!</v>
      </c>
      <c r="Y30" t="e">
        <f>AND(ConsolidatedEventList!#REF!,"AAAAAH14Zxg=")</f>
        <v>#REF!</v>
      </c>
      <c r="Z30">
        <f>IF(ConsolidatedEventList!221:221,"AAAAAH14Zxk=",0)</f>
        <v>0</v>
      </c>
      <c r="AA30" t="b">
        <f>AND(ConsolidatedEventList!A221,"AAAAAH14Zxo=")</f>
        <v>0</v>
      </c>
      <c r="AB30" t="b">
        <f>AND(ConsolidatedEventList!B221,"AAAAAH14Zxs=")</f>
        <v>1</v>
      </c>
      <c r="AC30" t="e">
        <f>AND(ConsolidatedEventList!C221,"AAAAAH14Zxw=")</f>
        <v>#VALUE!</v>
      </c>
      <c r="AD30" t="e">
        <f>AND(ConsolidatedEventList!D221,"AAAAAH14Zx0=")</f>
        <v>#VALUE!</v>
      </c>
      <c r="AE30" t="b">
        <f>AND(ConsolidatedEventList!E221,"AAAAAH14Zx4=")</f>
        <v>0</v>
      </c>
      <c r="AF30" t="e">
        <f>AND(ConsolidatedEventList!F221,"AAAAAH14Zx8=")</f>
        <v>#VALUE!</v>
      </c>
      <c r="AG30" t="e">
        <f>AND(ConsolidatedEventList!G221,"AAAAAH14ZyA=")</f>
        <v>#VALUE!</v>
      </c>
      <c r="AH30" t="e">
        <f>AND(ConsolidatedEventList!H221,"AAAAAH14ZyE=")</f>
        <v>#VALUE!</v>
      </c>
      <c r="AI30" t="e">
        <f>AND(ConsolidatedEventList!#REF!,"AAAAAH14ZyI=")</f>
        <v>#REF!</v>
      </c>
      <c r="AJ30">
        <f>IF(ConsolidatedEventList!282:282,"AAAAAH14ZyM=",0)</f>
        <v>0</v>
      </c>
      <c r="AK30" t="b">
        <f>AND(ConsolidatedEventList!A282,"AAAAAH14ZyQ=")</f>
        <v>0</v>
      </c>
      <c r="AL30" t="b">
        <f>AND(ConsolidatedEventList!B282,"AAAAAH14ZyU=")</f>
        <v>1</v>
      </c>
      <c r="AM30" t="e">
        <f>AND(ConsolidatedEventList!C282,"AAAAAH14ZyY=")</f>
        <v>#VALUE!</v>
      </c>
      <c r="AN30" t="e">
        <f>AND(ConsolidatedEventList!D282,"AAAAAH14Zyc=")</f>
        <v>#VALUE!</v>
      </c>
      <c r="AO30" t="b">
        <f>AND(ConsolidatedEventList!E282,"AAAAAH14Zyg=")</f>
        <v>0</v>
      </c>
      <c r="AP30" t="b">
        <f>AND(ConsolidatedEventList!F282,"AAAAAH14Zyk=")</f>
        <v>0</v>
      </c>
      <c r="AQ30" t="e">
        <f>AND(ConsolidatedEventList!G282,"AAAAAH14Zyo=")</f>
        <v>#VALUE!</v>
      </c>
      <c r="AR30" t="e">
        <f>AND(ConsolidatedEventList!H282,"AAAAAH14Zys=")</f>
        <v>#VALUE!</v>
      </c>
      <c r="AS30" t="e">
        <f>AND(ConsolidatedEventList!#REF!,"AAAAAH14Zyw=")</f>
        <v>#REF!</v>
      </c>
      <c r="AT30">
        <f>IF(ConsolidatedEventList!283:283,"AAAAAH14Zy0=",0)</f>
        <v>0</v>
      </c>
      <c r="AU30" t="b">
        <f>AND(ConsolidatedEventList!A283,"AAAAAH14Zy4=")</f>
        <v>0</v>
      </c>
      <c r="AV30" t="b">
        <f>AND(ConsolidatedEventList!B283,"AAAAAH14Zy8=")</f>
        <v>1</v>
      </c>
      <c r="AW30" t="e">
        <f>AND(ConsolidatedEventList!C283,"AAAAAH14ZzA=")</f>
        <v>#VALUE!</v>
      </c>
      <c r="AX30" t="e">
        <f>AND(ConsolidatedEventList!D283,"AAAAAH14ZzE=")</f>
        <v>#VALUE!</v>
      </c>
      <c r="AY30" t="b">
        <f>AND(ConsolidatedEventList!E283,"AAAAAH14ZzI=")</f>
        <v>0</v>
      </c>
      <c r="AZ30" t="b">
        <f>AND(ConsolidatedEventList!F283,"AAAAAH14ZzM=")</f>
        <v>0</v>
      </c>
      <c r="BA30" t="e">
        <f>AND(ConsolidatedEventList!G283,"AAAAAH14ZzQ=")</f>
        <v>#VALUE!</v>
      </c>
      <c r="BB30" t="e">
        <f>AND(ConsolidatedEventList!H283,"AAAAAH14ZzU=")</f>
        <v>#VALUE!</v>
      </c>
      <c r="BC30" t="e">
        <f>AND(ConsolidatedEventList!#REF!,"AAAAAH14ZzY=")</f>
        <v>#REF!</v>
      </c>
      <c r="BD30">
        <f>IF(ConsolidatedEventList!284:284,"AAAAAH14Zzc=",0)</f>
        <v>0</v>
      </c>
      <c r="BE30" t="b">
        <f>AND(ConsolidatedEventList!A284,"AAAAAH14Zzg=")</f>
        <v>0</v>
      </c>
      <c r="BF30" t="b">
        <f>AND(ConsolidatedEventList!B284,"AAAAAH14Zzk=")</f>
        <v>1</v>
      </c>
      <c r="BG30" t="e">
        <f>AND(ConsolidatedEventList!C284,"AAAAAH14Zzo=")</f>
        <v>#VALUE!</v>
      </c>
      <c r="BH30" t="e">
        <f>AND(ConsolidatedEventList!D284,"AAAAAH14Zzs=")</f>
        <v>#VALUE!</v>
      </c>
      <c r="BI30" t="b">
        <f>AND(ConsolidatedEventList!E284,"AAAAAH14Zzw=")</f>
        <v>0</v>
      </c>
      <c r="BJ30" t="b">
        <f>AND(ConsolidatedEventList!F284,"AAAAAH14Zz0=")</f>
        <v>0</v>
      </c>
      <c r="BK30" t="e">
        <f>AND(ConsolidatedEventList!G284,"AAAAAH14Zz4=")</f>
        <v>#VALUE!</v>
      </c>
      <c r="BL30" t="e">
        <f>AND(ConsolidatedEventList!H284,"AAAAAH14Zz8=")</f>
        <v>#VALUE!</v>
      </c>
      <c r="BM30" t="e">
        <f>AND(ConsolidatedEventList!#REF!,"AAAAAH14Z0A=")</f>
        <v>#REF!</v>
      </c>
      <c r="BN30">
        <f>IF(ConsolidatedEventList!285:285,"AAAAAH14Z0E=",0)</f>
        <v>0</v>
      </c>
      <c r="BO30" t="b">
        <f>AND(ConsolidatedEventList!A285,"AAAAAH14Z0I=")</f>
        <v>0</v>
      </c>
      <c r="BP30" t="b">
        <f>AND(ConsolidatedEventList!B285,"AAAAAH14Z0M=")</f>
        <v>1</v>
      </c>
      <c r="BQ30" t="e">
        <f>AND(ConsolidatedEventList!C285,"AAAAAH14Z0Q=")</f>
        <v>#VALUE!</v>
      </c>
      <c r="BR30" t="e">
        <f>AND(ConsolidatedEventList!D285,"AAAAAH14Z0U=")</f>
        <v>#VALUE!</v>
      </c>
      <c r="BS30" t="b">
        <f>AND(ConsolidatedEventList!E285,"AAAAAH14Z0Y=")</f>
        <v>0</v>
      </c>
      <c r="BT30" t="b">
        <f>AND(ConsolidatedEventList!F285,"AAAAAH14Z0c=")</f>
        <v>0</v>
      </c>
      <c r="BU30" t="e">
        <f>AND(ConsolidatedEventList!G285,"AAAAAH14Z0g=")</f>
        <v>#VALUE!</v>
      </c>
      <c r="BV30" t="e">
        <f>AND(ConsolidatedEventList!H285,"AAAAAH14Z0k=")</f>
        <v>#VALUE!</v>
      </c>
      <c r="BW30" t="e">
        <f>AND(ConsolidatedEventList!#REF!,"AAAAAH14Z0o=")</f>
        <v>#REF!</v>
      </c>
      <c r="BX30">
        <f>IF(ConsolidatedEventList!286:286,"AAAAAH14Z0s=",0)</f>
        <v>0</v>
      </c>
      <c r="BY30" t="b">
        <f>AND(ConsolidatedEventList!A286,"AAAAAH14Z0w=")</f>
        <v>0</v>
      </c>
      <c r="BZ30" t="b">
        <f>AND(ConsolidatedEventList!B286,"AAAAAH14Z00=")</f>
        <v>1</v>
      </c>
      <c r="CA30" t="e">
        <f>AND(ConsolidatedEventList!C286,"AAAAAH14Z04=")</f>
        <v>#VALUE!</v>
      </c>
      <c r="CB30" t="e">
        <f>AND(ConsolidatedEventList!D286,"AAAAAH14Z08=")</f>
        <v>#VALUE!</v>
      </c>
      <c r="CC30" t="b">
        <f>AND(ConsolidatedEventList!E286,"AAAAAH14Z1A=")</f>
        <v>0</v>
      </c>
      <c r="CD30" t="b">
        <f>AND(ConsolidatedEventList!F286,"AAAAAH14Z1E=")</f>
        <v>0</v>
      </c>
      <c r="CE30" t="e">
        <f>AND(ConsolidatedEventList!G286,"AAAAAH14Z1I=")</f>
        <v>#VALUE!</v>
      </c>
      <c r="CF30" t="e">
        <f>AND(ConsolidatedEventList!H286,"AAAAAH14Z1M=")</f>
        <v>#VALUE!</v>
      </c>
      <c r="CG30" t="e">
        <f>AND(ConsolidatedEventList!#REF!,"AAAAAH14Z1Q=")</f>
        <v>#REF!</v>
      </c>
      <c r="CH30">
        <f>IF(ConsolidatedEventList!287:287,"AAAAAH14Z1U=",0)</f>
        <v>0</v>
      </c>
      <c r="CI30" t="b">
        <f>AND(ConsolidatedEventList!A287,"AAAAAH14Z1Y=")</f>
        <v>0</v>
      </c>
      <c r="CJ30" t="b">
        <f>AND(ConsolidatedEventList!B287,"AAAAAH14Z1c=")</f>
        <v>1</v>
      </c>
      <c r="CK30" t="e">
        <f>AND(ConsolidatedEventList!C287,"AAAAAH14Z1g=")</f>
        <v>#VALUE!</v>
      </c>
      <c r="CL30" t="e">
        <f>AND(ConsolidatedEventList!D287,"AAAAAH14Z1k=")</f>
        <v>#VALUE!</v>
      </c>
      <c r="CM30" t="b">
        <f>AND(ConsolidatedEventList!E287,"AAAAAH14Z1o=")</f>
        <v>0</v>
      </c>
      <c r="CN30" t="b">
        <f>AND(ConsolidatedEventList!F287,"AAAAAH14Z1s=")</f>
        <v>0</v>
      </c>
      <c r="CO30" t="e">
        <f>AND(ConsolidatedEventList!G287,"AAAAAH14Z1w=")</f>
        <v>#VALUE!</v>
      </c>
      <c r="CP30" t="e">
        <f>AND(ConsolidatedEventList!H287,"AAAAAH14Z10=")</f>
        <v>#VALUE!</v>
      </c>
      <c r="CQ30" t="e">
        <f>AND(ConsolidatedEventList!#REF!,"AAAAAH14Z14=")</f>
        <v>#REF!</v>
      </c>
      <c r="CR30">
        <f>IF(ConsolidatedEventList!288:288,"AAAAAH14Z18=",0)</f>
        <v>0</v>
      </c>
      <c r="CS30" t="b">
        <f>AND(ConsolidatedEventList!A288,"AAAAAH14Z2A=")</f>
        <v>0</v>
      </c>
      <c r="CT30" t="b">
        <f>AND(ConsolidatedEventList!B288,"AAAAAH14Z2E=")</f>
        <v>1</v>
      </c>
      <c r="CU30" t="e">
        <f>AND(ConsolidatedEventList!C288,"AAAAAH14Z2I=")</f>
        <v>#VALUE!</v>
      </c>
      <c r="CV30" t="e">
        <f>AND(ConsolidatedEventList!D288,"AAAAAH14Z2M=")</f>
        <v>#VALUE!</v>
      </c>
      <c r="CW30" t="b">
        <f>AND(ConsolidatedEventList!E288,"AAAAAH14Z2Q=")</f>
        <v>0</v>
      </c>
      <c r="CX30" t="b">
        <f>AND(ConsolidatedEventList!F288,"AAAAAH14Z2U=")</f>
        <v>0</v>
      </c>
      <c r="CY30" t="e">
        <f>AND(ConsolidatedEventList!G288,"AAAAAH14Z2Y=")</f>
        <v>#VALUE!</v>
      </c>
      <c r="CZ30" t="e">
        <f>AND(ConsolidatedEventList!H288,"AAAAAH14Z2c=")</f>
        <v>#VALUE!</v>
      </c>
      <c r="DA30" t="e">
        <f>AND(ConsolidatedEventList!#REF!,"AAAAAH14Z2g=")</f>
        <v>#REF!</v>
      </c>
      <c r="DB30">
        <f>IF(ConsolidatedEventList!289:289,"AAAAAH14Z2k=",0)</f>
        <v>0</v>
      </c>
      <c r="DC30" t="b">
        <f>AND(ConsolidatedEventList!A289,"AAAAAH14Z2o=")</f>
        <v>0</v>
      </c>
      <c r="DD30" t="b">
        <f>AND(ConsolidatedEventList!B289,"AAAAAH14Z2s=")</f>
        <v>1</v>
      </c>
      <c r="DE30" t="e">
        <f>AND(ConsolidatedEventList!C289,"AAAAAH14Z2w=")</f>
        <v>#VALUE!</v>
      </c>
      <c r="DF30" t="e">
        <f>AND(ConsolidatedEventList!D289,"AAAAAH14Z20=")</f>
        <v>#VALUE!</v>
      </c>
      <c r="DG30" t="b">
        <f>AND(ConsolidatedEventList!E289,"AAAAAH14Z24=")</f>
        <v>0</v>
      </c>
      <c r="DH30" t="b">
        <f>AND(ConsolidatedEventList!F289,"AAAAAH14Z28=")</f>
        <v>0</v>
      </c>
      <c r="DI30" t="e">
        <f>AND(ConsolidatedEventList!G289,"AAAAAH14Z3A=")</f>
        <v>#VALUE!</v>
      </c>
      <c r="DJ30" t="e">
        <f>AND(ConsolidatedEventList!H289,"AAAAAH14Z3E=")</f>
        <v>#VALUE!</v>
      </c>
      <c r="DK30" t="e">
        <f>AND(ConsolidatedEventList!#REF!,"AAAAAH14Z3I=")</f>
        <v>#REF!</v>
      </c>
      <c r="DL30" t="e">
        <f>IF(ConsolidatedEventList!#REF!,"AAAAAH14Z3M=",0)</f>
        <v>#REF!</v>
      </c>
      <c r="DM30" t="e">
        <f>AND(ConsolidatedEventList!#REF!,"AAAAAH14Z3Q=")</f>
        <v>#REF!</v>
      </c>
      <c r="DN30" t="e">
        <f>AND(ConsolidatedEventList!#REF!,"AAAAAH14Z3U=")</f>
        <v>#REF!</v>
      </c>
      <c r="DO30" t="e">
        <f>AND(ConsolidatedEventList!#REF!,"AAAAAH14Z3Y=")</f>
        <v>#REF!</v>
      </c>
      <c r="DP30" t="e">
        <f>AND(ConsolidatedEventList!#REF!,"AAAAAH14Z3c=")</f>
        <v>#REF!</v>
      </c>
      <c r="DQ30" t="e">
        <f>AND(ConsolidatedEventList!#REF!,"AAAAAH14Z3g=")</f>
        <v>#REF!</v>
      </c>
      <c r="DR30" t="e">
        <f>AND(ConsolidatedEventList!#REF!,"AAAAAH14Z3k=")</f>
        <v>#REF!</v>
      </c>
      <c r="DS30" t="e">
        <f>AND(ConsolidatedEventList!#REF!,"AAAAAH14Z3o=")</f>
        <v>#REF!</v>
      </c>
      <c r="DT30" t="e">
        <f>AND(ConsolidatedEventList!#REF!,"AAAAAH14Z3s=")</f>
        <v>#REF!</v>
      </c>
      <c r="DU30" t="e">
        <f>AND(ConsolidatedEventList!#REF!,"AAAAAH14Z3w=")</f>
        <v>#REF!</v>
      </c>
      <c r="DV30" t="e">
        <f>IF(ConsolidatedEventList!#REF!,"AAAAAH14Z30=",0)</f>
        <v>#REF!</v>
      </c>
      <c r="DW30" t="e">
        <f>AND(ConsolidatedEventList!#REF!,"AAAAAH14Z34=")</f>
        <v>#REF!</v>
      </c>
      <c r="DX30" t="e">
        <f>AND(ConsolidatedEventList!#REF!,"AAAAAH14Z38=")</f>
        <v>#REF!</v>
      </c>
      <c r="DY30" t="e">
        <f>AND(ConsolidatedEventList!#REF!,"AAAAAH14Z4A=")</f>
        <v>#REF!</v>
      </c>
      <c r="DZ30" t="e">
        <f>AND(ConsolidatedEventList!#REF!,"AAAAAH14Z4E=")</f>
        <v>#REF!</v>
      </c>
      <c r="EA30" t="e">
        <f>AND(ConsolidatedEventList!#REF!,"AAAAAH14Z4I=")</f>
        <v>#REF!</v>
      </c>
      <c r="EB30" t="e">
        <f>AND(ConsolidatedEventList!#REF!,"AAAAAH14Z4M=")</f>
        <v>#REF!</v>
      </c>
      <c r="EC30" t="e">
        <f>AND(ConsolidatedEventList!#REF!,"AAAAAH14Z4Q=")</f>
        <v>#REF!</v>
      </c>
      <c r="ED30" t="e">
        <f>AND(ConsolidatedEventList!#REF!,"AAAAAH14Z4U=")</f>
        <v>#REF!</v>
      </c>
      <c r="EE30" t="e">
        <f>AND(ConsolidatedEventList!#REF!,"AAAAAH14Z4Y=")</f>
        <v>#REF!</v>
      </c>
      <c r="EF30">
        <f>IF(ConsolidatedEventList!290:290,"AAAAAH14Z4c=",0)</f>
        <v>0</v>
      </c>
      <c r="EG30" t="b">
        <f>AND(ConsolidatedEventList!A290,"AAAAAH14Z4g=")</f>
        <v>0</v>
      </c>
      <c r="EH30" t="b">
        <f>AND(ConsolidatedEventList!B290,"AAAAAH14Z4k=")</f>
        <v>1</v>
      </c>
      <c r="EI30" t="e">
        <f>AND(ConsolidatedEventList!C290,"AAAAAH14Z4o=")</f>
        <v>#VALUE!</v>
      </c>
      <c r="EJ30" t="e">
        <f>AND(ConsolidatedEventList!D290,"AAAAAH14Z4s=")</f>
        <v>#VALUE!</v>
      </c>
      <c r="EK30" t="b">
        <f>AND(ConsolidatedEventList!E290,"AAAAAH14Z4w=")</f>
        <v>0</v>
      </c>
      <c r="EL30" t="b">
        <f>AND(ConsolidatedEventList!F290,"AAAAAH14Z40=")</f>
        <v>0</v>
      </c>
      <c r="EM30" t="e">
        <f>AND(ConsolidatedEventList!G290,"AAAAAH14Z44=")</f>
        <v>#VALUE!</v>
      </c>
      <c r="EN30" t="e">
        <f>AND(ConsolidatedEventList!H290,"AAAAAH14Z48=")</f>
        <v>#VALUE!</v>
      </c>
      <c r="EO30" t="e">
        <f>AND(ConsolidatedEventList!#REF!,"AAAAAH14Z5A=")</f>
        <v>#REF!</v>
      </c>
      <c r="EP30">
        <f>IF(ConsolidatedEventList!291:291,"AAAAAH14Z5E=",0)</f>
        <v>0</v>
      </c>
      <c r="EQ30" t="b">
        <f>AND(ConsolidatedEventList!A291,"AAAAAH14Z5I=")</f>
        <v>0</v>
      </c>
      <c r="ER30" t="b">
        <f>AND(ConsolidatedEventList!B291,"AAAAAH14Z5M=")</f>
        <v>1</v>
      </c>
      <c r="ES30" t="e">
        <f>AND(ConsolidatedEventList!C291,"AAAAAH14Z5Q=")</f>
        <v>#VALUE!</v>
      </c>
      <c r="ET30" t="e">
        <f>AND(ConsolidatedEventList!D291,"AAAAAH14Z5U=")</f>
        <v>#VALUE!</v>
      </c>
      <c r="EU30" t="b">
        <f>AND(ConsolidatedEventList!E291,"AAAAAH14Z5Y=")</f>
        <v>0</v>
      </c>
      <c r="EV30" t="b">
        <f>AND(ConsolidatedEventList!F291,"AAAAAH14Z5c=")</f>
        <v>0</v>
      </c>
      <c r="EW30" t="e">
        <f>AND(ConsolidatedEventList!G291,"AAAAAH14Z5g=")</f>
        <v>#VALUE!</v>
      </c>
      <c r="EX30" t="e">
        <f>AND(ConsolidatedEventList!H291,"AAAAAH14Z5k=")</f>
        <v>#VALUE!</v>
      </c>
      <c r="EY30" t="e">
        <f>AND(ConsolidatedEventList!#REF!,"AAAAAH14Z5o=")</f>
        <v>#REF!</v>
      </c>
      <c r="EZ30">
        <f>IF(ConsolidatedEventList!292:292,"AAAAAH14Z5s=",0)</f>
        <v>0</v>
      </c>
      <c r="FA30" t="b">
        <f>AND(ConsolidatedEventList!A292,"AAAAAH14Z5w=")</f>
        <v>0</v>
      </c>
      <c r="FB30" t="b">
        <f>AND(ConsolidatedEventList!B292,"AAAAAH14Z50=")</f>
        <v>1</v>
      </c>
      <c r="FC30" t="e">
        <f>AND(ConsolidatedEventList!C292,"AAAAAH14Z54=")</f>
        <v>#VALUE!</v>
      </c>
      <c r="FD30" t="e">
        <f>AND(ConsolidatedEventList!D292,"AAAAAH14Z58=")</f>
        <v>#VALUE!</v>
      </c>
      <c r="FE30" t="b">
        <f>AND(ConsolidatedEventList!E292,"AAAAAH14Z6A=")</f>
        <v>0</v>
      </c>
      <c r="FF30" t="b">
        <f>AND(ConsolidatedEventList!F292,"AAAAAH14Z6E=")</f>
        <v>0</v>
      </c>
      <c r="FG30" t="e">
        <f>AND(ConsolidatedEventList!G292,"AAAAAH14Z6I=")</f>
        <v>#VALUE!</v>
      </c>
      <c r="FH30" t="e">
        <f>AND(ConsolidatedEventList!H292,"AAAAAH14Z6M=")</f>
        <v>#VALUE!</v>
      </c>
      <c r="FI30" t="e">
        <f>AND(ConsolidatedEventList!#REF!,"AAAAAH14Z6Q=")</f>
        <v>#REF!</v>
      </c>
      <c r="FJ30">
        <f>IF(ConsolidatedEventList!293:293,"AAAAAH14Z6U=",0)</f>
        <v>0</v>
      </c>
      <c r="FK30" t="b">
        <f>AND(ConsolidatedEventList!A293,"AAAAAH14Z6Y=")</f>
        <v>0</v>
      </c>
      <c r="FL30" t="b">
        <f>AND(ConsolidatedEventList!B293,"AAAAAH14Z6c=")</f>
        <v>1</v>
      </c>
      <c r="FM30" t="e">
        <f>AND(ConsolidatedEventList!C293,"AAAAAH14Z6g=")</f>
        <v>#VALUE!</v>
      </c>
      <c r="FN30" t="e">
        <f>AND(ConsolidatedEventList!D293,"AAAAAH14Z6k=")</f>
        <v>#VALUE!</v>
      </c>
      <c r="FO30" t="b">
        <f>AND(ConsolidatedEventList!E293,"AAAAAH14Z6o=")</f>
        <v>0</v>
      </c>
      <c r="FP30" t="b">
        <f>AND(ConsolidatedEventList!F293,"AAAAAH14Z6s=")</f>
        <v>0</v>
      </c>
      <c r="FQ30" t="e">
        <f>AND(ConsolidatedEventList!G293,"AAAAAH14Z6w=")</f>
        <v>#VALUE!</v>
      </c>
      <c r="FR30" t="e">
        <f>AND(ConsolidatedEventList!H293,"AAAAAH14Z60=")</f>
        <v>#VALUE!</v>
      </c>
      <c r="FS30" t="e">
        <f>AND(ConsolidatedEventList!#REF!,"AAAAAH14Z64=")</f>
        <v>#REF!</v>
      </c>
      <c r="FT30">
        <f>IF(ConsolidatedEventList!294:294,"AAAAAH14Z68=",0)</f>
        <v>0</v>
      </c>
      <c r="FU30" t="b">
        <f>AND(ConsolidatedEventList!A294,"AAAAAH14Z7A=")</f>
        <v>0</v>
      </c>
      <c r="FV30" t="b">
        <f>AND(ConsolidatedEventList!B294,"AAAAAH14Z7E=")</f>
        <v>1</v>
      </c>
      <c r="FW30" t="e">
        <f>AND(ConsolidatedEventList!C294,"AAAAAH14Z7I=")</f>
        <v>#VALUE!</v>
      </c>
      <c r="FX30" t="e">
        <f>AND(ConsolidatedEventList!D294,"AAAAAH14Z7M=")</f>
        <v>#VALUE!</v>
      </c>
      <c r="FY30" t="b">
        <f>AND(ConsolidatedEventList!E294,"AAAAAH14Z7Q=")</f>
        <v>0</v>
      </c>
      <c r="FZ30" t="b">
        <f>AND(ConsolidatedEventList!F294,"AAAAAH14Z7U=")</f>
        <v>0</v>
      </c>
      <c r="GA30" t="e">
        <f>AND(ConsolidatedEventList!G294,"AAAAAH14Z7Y=")</f>
        <v>#VALUE!</v>
      </c>
      <c r="GB30" t="e">
        <f>AND(ConsolidatedEventList!H294,"AAAAAH14Z7c=")</f>
        <v>#VALUE!</v>
      </c>
      <c r="GC30" t="e">
        <f>AND(ConsolidatedEventList!#REF!,"AAAAAH14Z7g=")</f>
        <v>#REF!</v>
      </c>
      <c r="GD30">
        <f>IF(ConsolidatedEventList!295:295,"AAAAAH14Z7k=",0)</f>
        <v>0</v>
      </c>
      <c r="GE30" t="b">
        <f>AND(ConsolidatedEventList!A295,"AAAAAH14Z7o=")</f>
        <v>0</v>
      </c>
      <c r="GF30" t="b">
        <f>AND(ConsolidatedEventList!B295,"AAAAAH14Z7s=")</f>
        <v>1</v>
      </c>
      <c r="GG30" t="e">
        <f>AND(ConsolidatedEventList!C295,"AAAAAH14Z7w=")</f>
        <v>#VALUE!</v>
      </c>
      <c r="GH30" t="e">
        <f>AND(ConsolidatedEventList!D295,"AAAAAH14Z70=")</f>
        <v>#VALUE!</v>
      </c>
      <c r="GI30" t="b">
        <f>AND(ConsolidatedEventList!E295,"AAAAAH14Z74=")</f>
        <v>0</v>
      </c>
      <c r="GJ30" t="b">
        <f>AND(ConsolidatedEventList!F295,"AAAAAH14Z78=")</f>
        <v>0</v>
      </c>
      <c r="GK30" t="e">
        <f>AND(ConsolidatedEventList!G295,"AAAAAH14Z8A=")</f>
        <v>#VALUE!</v>
      </c>
      <c r="GL30" t="e">
        <f>AND(ConsolidatedEventList!H295,"AAAAAH14Z8E=")</f>
        <v>#VALUE!</v>
      </c>
      <c r="GM30" t="e">
        <f>AND(ConsolidatedEventList!#REF!,"AAAAAH14Z8I=")</f>
        <v>#REF!</v>
      </c>
      <c r="GN30">
        <f>IF(ConsolidatedEventList!296:296,"AAAAAH14Z8M=",0)</f>
        <v>0</v>
      </c>
      <c r="GO30" t="b">
        <f>AND(ConsolidatedEventList!A296,"AAAAAH14Z8Q=")</f>
        <v>0</v>
      </c>
      <c r="GP30" t="b">
        <f>AND(ConsolidatedEventList!B296,"AAAAAH14Z8U=")</f>
        <v>1</v>
      </c>
      <c r="GQ30" t="e">
        <f>AND(ConsolidatedEventList!C296,"AAAAAH14Z8Y=")</f>
        <v>#VALUE!</v>
      </c>
      <c r="GR30" t="e">
        <f>AND(ConsolidatedEventList!D296,"AAAAAH14Z8c=")</f>
        <v>#VALUE!</v>
      </c>
      <c r="GS30" t="b">
        <f>AND(ConsolidatedEventList!E296,"AAAAAH14Z8g=")</f>
        <v>0</v>
      </c>
      <c r="GT30" t="b">
        <f>AND(ConsolidatedEventList!F296,"AAAAAH14Z8k=")</f>
        <v>0</v>
      </c>
      <c r="GU30" t="e">
        <f>AND(ConsolidatedEventList!G296,"AAAAAH14Z8o=")</f>
        <v>#VALUE!</v>
      </c>
      <c r="GV30" t="e">
        <f>AND(ConsolidatedEventList!H296,"AAAAAH14Z8s=")</f>
        <v>#VALUE!</v>
      </c>
      <c r="GW30" t="e">
        <f>AND(ConsolidatedEventList!#REF!,"AAAAAH14Z8w=")</f>
        <v>#REF!</v>
      </c>
      <c r="GX30">
        <f>IF(ConsolidatedEventList!297:297,"AAAAAH14Z80=",0)</f>
        <v>0</v>
      </c>
      <c r="GY30" t="b">
        <f>AND(ConsolidatedEventList!A297,"AAAAAH14Z84=")</f>
        <v>0</v>
      </c>
      <c r="GZ30" t="b">
        <f>AND(ConsolidatedEventList!B297,"AAAAAH14Z88=")</f>
        <v>1</v>
      </c>
      <c r="HA30" t="e">
        <f>AND(ConsolidatedEventList!C297,"AAAAAH14Z9A=")</f>
        <v>#VALUE!</v>
      </c>
      <c r="HB30" t="e">
        <f>AND(ConsolidatedEventList!D297,"AAAAAH14Z9E=")</f>
        <v>#VALUE!</v>
      </c>
      <c r="HC30" t="b">
        <f>AND(ConsolidatedEventList!E297,"AAAAAH14Z9I=")</f>
        <v>0</v>
      </c>
      <c r="HD30" t="b">
        <f>AND(ConsolidatedEventList!F297,"AAAAAH14Z9M=")</f>
        <v>0</v>
      </c>
      <c r="HE30" t="e">
        <f>AND(ConsolidatedEventList!G297,"AAAAAH14Z9Q=")</f>
        <v>#VALUE!</v>
      </c>
      <c r="HF30" t="e">
        <f>AND(ConsolidatedEventList!H297,"AAAAAH14Z9U=")</f>
        <v>#VALUE!</v>
      </c>
      <c r="HG30" t="e">
        <f>AND(ConsolidatedEventList!#REF!,"AAAAAH14Z9Y=")</f>
        <v>#REF!</v>
      </c>
      <c r="HH30" t="e">
        <f>IF(ConsolidatedEventList!#REF!,"AAAAAH14Z9c=",0)</f>
        <v>#REF!</v>
      </c>
      <c r="HI30" t="e">
        <f>AND(ConsolidatedEventList!#REF!,"AAAAAH14Z9g=")</f>
        <v>#REF!</v>
      </c>
      <c r="HJ30" t="e">
        <f>AND(ConsolidatedEventList!#REF!,"AAAAAH14Z9k=")</f>
        <v>#REF!</v>
      </c>
      <c r="HK30" t="e">
        <f>AND(ConsolidatedEventList!#REF!,"AAAAAH14Z9o=")</f>
        <v>#REF!</v>
      </c>
      <c r="HL30" t="e">
        <f>AND(ConsolidatedEventList!#REF!,"AAAAAH14Z9s=")</f>
        <v>#REF!</v>
      </c>
      <c r="HM30" t="e">
        <f>AND(ConsolidatedEventList!#REF!,"AAAAAH14Z9w=")</f>
        <v>#REF!</v>
      </c>
      <c r="HN30" t="e">
        <f>AND(ConsolidatedEventList!#REF!,"AAAAAH14Z90=")</f>
        <v>#REF!</v>
      </c>
      <c r="HO30" t="e">
        <f>AND(ConsolidatedEventList!#REF!,"AAAAAH14Z94=")</f>
        <v>#REF!</v>
      </c>
      <c r="HP30" t="e">
        <f>AND(ConsolidatedEventList!#REF!,"AAAAAH14Z98=")</f>
        <v>#REF!</v>
      </c>
      <c r="HQ30" t="e">
        <f>AND(ConsolidatedEventList!#REF!,"AAAAAH14Z+A=")</f>
        <v>#REF!</v>
      </c>
      <c r="HR30" t="e">
        <f>IF(ConsolidatedEventList!#REF!,"AAAAAH14Z+E=",0)</f>
        <v>#REF!</v>
      </c>
      <c r="HS30" t="e">
        <f>AND(ConsolidatedEventList!#REF!,"AAAAAH14Z+I=")</f>
        <v>#REF!</v>
      </c>
      <c r="HT30" t="e">
        <f>AND(ConsolidatedEventList!#REF!,"AAAAAH14Z+M=")</f>
        <v>#REF!</v>
      </c>
      <c r="HU30" t="e">
        <f>AND(ConsolidatedEventList!#REF!,"AAAAAH14Z+Q=")</f>
        <v>#REF!</v>
      </c>
      <c r="HV30" t="e">
        <f>AND(ConsolidatedEventList!#REF!,"AAAAAH14Z+U=")</f>
        <v>#REF!</v>
      </c>
      <c r="HW30" t="e">
        <f>AND(ConsolidatedEventList!#REF!,"AAAAAH14Z+Y=")</f>
        <v>#REF!</v>
      </c>
      <c r="HX30" t="e">
        <f>AND(ConsolidatedEventList!#REF!,"AAAAAH14Z+c=")</f>
        <v>#REF!</v>
      </c>
      <c r="HY30" t="e">
        <f>AND(ConsolidatedEventList!#REF!,"AAAAAH14Z+g=")</f>
        <v>#REF!</v>
      </c>
      <c r="HZ30" t="e">
        <f>AND(ConsolidatedEventList!#REF!,"AAAAAH14Z+k=")</f>
        <v>#REF!</v>
      </c>
      <c r="IA30" t="e">
        <f>AND(ConsolidatedEventList!#REF!,"AAAAAH14Z+o=")</f>
        <v>#REF!</v>
      </c>
      <c r="IB30">
        <f>IF(ConsolidatedEventList!298:298,"AAAAAH14Z+s=",0)</f>
        <v>0</v>
      </c>
      <c r="IC30" t="b">
        <f>AND(ConsolidatedEventList!A298,"AAAAAH14Z+w=")</f>
        <v>0</v>
      </c>
      <c r="ID30" t="b">
        <f>AND(ConsolidatedEventList!B298,"AAAAAH14Z+0=")</f>
        <v>1</v>
      </c>
      <c r="IE30" t="e">
        <f>AND(ConsolidatedEventList!C298,"AAAAAH14Z+4=")</f>
        <v>#VALUE!</v>
      </c>
      <c r="IF30" t="e">
        <f>AND(ConsolidatedEventList!D298,"AAAAAH14Z+8=")</f>
        <v>#VALUE!</v>
      </c>
      <c r="IG30" t="b">
        <f>AND(ConsolidatedEventList!E298,"AAAAAH14Z/A=")</f>
        <v>0</v>
      </c>
      <c r="IH30" t="b">
        <f>AND(ConsolidatedEventList!F298,"AAAAAH14Z/E=")</f>
        <v>0</v>
      </c>
      <c r="II30" t="e">
        <f>AND(ConsolidatedEventList!G298,"AAAAAH14Z/I=")</f>
        <v>#VALUE!</v>
      </c>
      <c r="IJ30" t="e">
        <f>AND(ConsolidatedEventList!H298,"AAAAAH14Z/M=")</f>
        <v>#VALUE!</v>
      </c>
      <c r="IK30" t="e">
        <f>AND(ConsolidatedEventList!#REF!,"AAAAAH14Z/Q=")</f>
        <v>#REF!</v>
      </c>
      <c r="IL30">
        <f>IF(ConsolidatedEventList!299:299,"AAAAAH14Z/U=",0)</f>
        <v>0</v>
      </c>
      <c r="IM30" t="b">
        <f>AND(ConsolidatedEventList!A299,"AAAAAH14Z/Y=")</f>
        <v>0</v>
      </c>
      <c r="IN30" t="b">
        <f>AND(ConsolidatedEventList!B299,"AAAAAH14Z/c=")</f>
        <v>1</v>
      </c>
      <c r="IO30" t="e">
        <f>AND(ConsolidatedEventList!C299,"AAAAAH14Z/g=")</f>
        <v>#VALUE!</v>
      </c>
      <c r="IP30" t="e">
        <f>AND(ConsolidatedEventList!D299,"AAAAAH14Z/k=")</f>
        <v>#VALUE!</v>
      </c>
      <c r="IQ30" t="b">
        <f>AND(ConsolidatedEventList!E299,"AAAAAH14Z/o=")</f>
        <v>0</v>
      </c>
      <c r="IR30" t="b">
        <f>AND(ConsolidatedEventList!F299,"AAAAAH14Z/s=")</f>
        <v>0</v>
      </c>
      <c r="IS30" t="e">
        <f>AND(ConsolidatedEventList!G299,"AAAAAH14Z/w=")</f>
        <v>#VALUE!</v>
      </c>
      <c r="IT30" t="e">
        <f>AND(ConsolidatedEventList!H299,"AAAAAH14Z/0=")</f>
        <v>#VALUE!</v>
      </c>
      <c r="IU30" t="e">
        <f>AND(ConsolidatedEventList!#REF!,"AAAAAH14Z/4=")</f>
        <v>#REF!</v>
      </c>
      <c r="IV30">
        <f>IF(ConsolidatedEventList!300:300,"AAAAAH14Z/8=",0)</f>
        <v>0</v>
      </c>
    </row>
    <row r="31" spans="1:256" x14ac:dyDescent="0.25">
      <c r="A31" t="b">
        <f>AND(ConsolidatedEventList!A300,"AAAAAH+u+AA=")</f>
        <v>0</v>
      </c>
      <c r="B31" t="b">
        <f>AND(ConsolidatedEventList!B300,"AAAAAH+u+AE=")</f>
        <v>1</v>
      </c>
      <c r="C31" t="e">
        <f>AND(ConsolidatedEventList!C300,"AAAAAH+u+AI=")</f>
        <v>#VALUE!</v>
      </c>
      <c r="D31" t="e">
        <f>AND(ConsolidatedEventList!D300,"AAAAAH+u+AM=")</f>
        <v>#VALUE!</v>
      </c>
      <c r="E31" t="b">
        <f>AND(ConsolidatedEventList!E300,"AAAAAH+u+AQ=")</f>
        <v>0</v>
      </c>
      <c r="F31" t="b">
        <f>AND(ConsolidatedEventList!F300,"AAAAAH+u+AU=")</f>
        <v>0</v>
      </c>
      <c r="G31" t="e">
        <f>AND(ConsolidatedEventList!G300,"AAAAAH+u+AY=")</f>
        <v>#VALUE!</v>
      </c>
      <c r="H31" t="e">
        <f>AND(ConsolidatedEventList!H300,"AAAAAH+u+Ac=")</f>
        <v>#VALUE!</v>
      </c>
      <c r="I31" t="e">
        <f>AND(ConsolidatedEventList!#REF!,"AAAAAH+u+Ag=")</f>
        <v>#REF!</v>
      </c>
      <c r="J31">
        <f>IF(ConsolidatedEventList!301:301,"AAAAAH+u+Ak=",0)</f>
        <v>0</v>
      </c>
      <c r="K31" t="b">
        <f>AND(ConsolidatedEventList!A301,"AAAAAH+u+Ao=")</f>
        <v>0</v>
      </c>
      <c r="L31" t="b">
        <f>AND(ConsolidatedEventList!B301,"AAAAAH+u+As=")</f>
        <v>1</v>
      </c>
      <c r="M31" t="e">
        <f>AND(ConsolidatedEventList!C301,"AAAAAH+u+Aw=")</f>
        <v>#VALUE!</v>
      </c>
      <c r="N31" t="e">
        <f>AND(ConsolidatedEventList!D301,"AAAAAH+u+A0=")</f>
        <v>#VALUE!</v>
      </c>
      <c r="O31" t="b">
        <f>AND(ConsolidatedEventList!E301,"AAAAAH+u+A4=")</f>
        <v>0</v>
      </c>
      <c r="P31" t="b">
        <f>AND(ConsolidatedEventList!F301,"AAAAAH+u+A8=")</f>
        <v>0</v>
      </c>
      <c r="Q31" t="e">
        <f>AND(ConsolidatedEventList!G301,"AAAAAH+u+BA=")</f>
        <v>#VALUE!</v>
      </c>
      <c r="R31" t="e">
        <f>AND(ConsolidatedEventList!H301,"AAAAAH+u+BE=")</f>
        <v>#VALUE!</v>
      </c>
      <c r="S31" t="e">
        <f>AND(ConsolidatedEventList!#REF!,"AAAAAH+u+BI=")</f>
        <v>#REF!</v>
      </c>
      <c r="T31">
        <f>IF(ConsolidatedEventList!302:302,"AAAAAH+u+BM=",0)</f>
        <v>0</v>
      </c>
      <c r="U31" t="b">
        <f>AND(ConsolidatedEventList!A302,"AAAAAH+u+BQ=")</f>
        <v>0</v>
      </c>
      <c r="V31" t="b">
        <f>AND(ConsolidatedEventList!B302,"AAAAAH+u+BU=")</f>
        <v>1</v>
      </c>
      <c r="W31" t="e">
        <f>AND(ConsolidatedEventList!C302,"AAAAAH+u+BY=")</f>
        <v>#VALUE!</v>
      </c>
      <c r="X31" t="e">
        <f>AND(ConsolidatedEventList!D302,"AAAAAH+u+Bc=")</f>
        <v>#VALUE!</v>
      </c>
      <c r="Y31" t="b">
        <f>AND(ConsolidatedEventList!E302,"AAAAAH+u+Bg=")</f>
        <v>0</v>
      </c>
      <c r="Z31" t="b">
        <f>AND(ConsolidatedEventList!F302,"AAAAAH+u+Bk=")</f>
        <v>0</v>
      </c>
      <c r="AA31" t="e">
        <f>AND(ConsolidatedEventList!G302,"AAAAAH+u+Bo=")</f>
        <v>#VALUE!</v>
      </c>
      <c r="AB31" t="e">
        <f>AND(ConsolidatedEventList!H302,"AAAAAH+u+Bs=")</f>
        <v>#VALUE!</v>
      </c>
      <c r="AC31" t="e">
        <f>AND(ConsolidatedEventList!#REF!,"AAAAAH+u+Bw=")</f>
        <v>#REF!</v>
      </c>
      <c r="AD31">
        <f>IF(ConsolidatedEventList!303:303,"AAAAAH+u+B0=",0)</f>
        <v>0</v>
      </c>
      <c r="AE31" t="b">
        <f>AND(ConsolidatedEventList!A303,"AAAAAH+u+B4=")</f>
        <v>0</v>
      </c>
      <c r="AF31" t="b">
        <f>AND(ConsolidatedEventList!B303,"AAAAAH+u+B8=")</f>
        <v>1</v>
      </c>
      <c r="AG31" t="e">
        <f>AND(ConsolidatedEventList!C303,"AAAAAH+u+CA=")</f>
        <v>#VALUE!</v>
      </c>
      <c r="AH31" t="e">
        <f>AND(ConsolidatedEventList!D303,"AAAAAH+u+CE=")</f>
        <v>#VALUE!</v>
      </c>
      <c r="AI31" t="b">
        <f>AND(ConsolidatedEventList!E303,"AAAAAH+u+CI=")</f>
        <v>0</v>
      </c>
      <c r="AJ31" t="b">
        <f>AND(ConsolidatedEventList!F303,"AAAAAH+u+CM=")</f>
        <v>0</v>
      </c>
      <c r="AK31" t="e">
        <f>AND(ConsolidatedEventList!G303,"AAAAAH+u+CQ=")</f>
        <v>#VALUE!</v>
      </c>
      <c r="AL31" t="e">
        <f>AND(ConsolidatedEventList!H303,"AAAAAH+u+CU=")</f>
        <v>#VALUE!</v>
      </c>
      <c r="AM31" t="e">
        <f>AND(ConsolidatedEventList!#REF!,"AAAAAH+u+CY=")</f>
        <v>#REF!</v>
      </c>
      <c r="AN31">
        <f>IF(ConsolidatedEventList!304:304,"AAAAAH+u+Cc=",0)</f>
        <v>0</v>
      </c>
      <c r="AO31" t="b">
        <f>AND(ConsolidatedEventList!A304,"AAAAAH+u+Cg=")</f>
        <v>0</v>
      </c>
      <c r="AP31" t="b">
        <f>AND(ConsolidatedEventList!B304,"AAAAAH+u+Ck=")</f>
        <v>1</v>
      </c>
      <c r="AQ31" t="e">
        <f>AND(ConsolidatedEventList!C304,"AAAAAH+u+Co=")</f>
        <v>#VALUE!</v>
      </c>
      <c r="AR31" t="e">
        <f>AND(ConsolidatedEventList!D304,"AAAAAH+u+Cs=")</f>
        <v>#VALUE!</v>
      </c>
      <c r="AS31" t="b">
        <f>AND(ConsolidatedEventList!E304,"AAAAAH+u+Cw=")</f>
        <v>0</v>
      </c>
      <c r="AT31" t="b">
        <f>AND(ConsolidatedEventList!F304,"AAAAAH+u+C0=")</f>
        <v>0</v>
      </c>
      <c r="AU31" t="e">
        <f>AND(ConsolidatedEventList!G304,"AAAAAH+u+C4=")</f>
        <v>#VALUE!</v>
      </c>
      <c r="AV31" t="e">
        <f>AND(ConsolidatedEventList!H304,"AAAAAH+u+C8=")</f>
        <v>#VALUE!</v>
      </c>
      <c r="AW31" t="e">
        <f>AND(ConsolidatedEventList!#REF!,"AAAAAH+u+DA=")</f>
        <v>#REF!</v>
      </c>
      <c r="AX31">
        <f>IF(ConsolidatedEventList!305:305,"AAAAAH+u+DE=",0)</f>
        <v>0</v>
      </c>
      <c r="AY31" t="b">
        <f>AND(ConsolidatedEventList!A305,"AAAAAH+u+DI=")</f>
        <v>0</v>
      </c>
      <c r="AZ31" t="b">
        <f>AND(ConsolidatedEventList!B305,"AAAAAH+u+DM=")</f>
        <v>1</v>
      </c>
      <c r="BA31" t="e">
        <f>AND(ConsolidatedEventList!C305,"AAAAAH+u+DQ=")</f>
        <v>#VALUE!</v>
      </c>
      <c r="BB31" t="e">
        <f>AND(ConsolidatedEventList!D305,"AAAAAH+u+DU=")</f>
        <v>#VALUE!</v>
      </c>
      <c r="BC31" t="b">
        <f>AND(ConsolidatedEventList!E305,"AAAAAH+u+DY=")</f>
        <v>0</v>
      </c>
      <c r="BD31" t="b">
        <f>AND(ConsolidatedEventList!F305,"AAAAAH+u+Dc=")</f>
        <v>0</v>
      </c>
      <c r="BE31" t="e">
        <f>AND(ConsolidatedEventList!G305,"AAAAAH+u+Dg=")</f>
        <v>#VALUE!</v>
      </c>
      <c r="BF31" t="e">
        <f>AND(ConsolidatedEventList!H305,"AAAAAH+u+Dk=")</f>
        <v>#VALUE!</v>
      </c>
      <c r="BG31" t="e">
        <f>AND(ConsolidatedEventList!#REF!,"AAAAAH+u+Do=")</f>
        <v>#REF!</v>
      </c>
      <c r="BH31" t="e">
        <f>IF(ConsolidatedEventList!#REF!,"AAAAAH+u+Ds=",0)</f>
        <v>#REF!</v>
      </c>
      <c r="BI31" t="e">
        <f>AND(ConsolidatedEventList!#REF!,"AAAAAH+u+Dw=")</f>
        <v>#REF!</v>
      </c>
      <c r="BJ31" t="e">
        <f>AND(ConsolidatedEventList!#REF!,"AAAAAH+u+D0=")</f>
        <v>#REF!</v>
      </c>
      <c r="BK31" t="e">
        <f>AND(ConsolidatedEventList!#REF!,"AAAAAH+u+D4=")</f>
        <v>#REF!</v>
      </c>
      <c r="BL31" t="e">
        <f>AND(ConsolidatedEventList!#REF!,"AAAAAH+u+D8=")</f>
        <v>#REF!</v>
      </c>
      <c r="BM31" t="e">
        <f>AND(ConsolidatedEventList!#REF!,"AAAAAH+u+EA=")</f>
        <v>#REF!</v>
      </c>
      <c r="BN31" t="e">
        <f>AND(ConsolidatedEventList!#REF!,"AAAAAH+u+EE=")</f>
        <v>#REF!</v>
      </c>
      <c r="BO31" t="e">
        <f>AND(ConsolidatedEventList!#REF!,"AAAAAH+u+EI=")</f>
        <v>#REF!</v>
      </c>
      <c r="BP31" t="e">
        <f>AND(ConsolidatedEventList!#REF!,"AAAAAH+u+EM=")</f>
        <v>#REF!</v>
      </c>
      <c r="BQ31" t="e">
        <f>AND(ConsolidatedEventList!#REF!,"AAAAAH+u+EQ=")</f>
        <v>#REF!</v>
      </c>
      <c r="BR31" t="e">
        <f>IF(ConsolidatedEventList!#REF!,"AAAAAH+u+EU=",0)</f>
        <v>#REF!</v>
      </c>
      <c r="BS31" t="e">
        <f>AND(ConsolidatedEventList!#REF!,"AAAAAH+u+EY=")</f>
        <v>#REF!</v>
      </c>
      <c r="BT31" t="e">
        <f>AND(ConsolidatedEventList!#REF!,"AAAAAH+u+Ec=")</f>
        <v>#REF!</v>
      </c>
      <c r="BU31" t="e">
        <f>AND(ConsolidatedEventList!#REF!,"AAAAAH+u+Eg=")</f>
        <v>#REF!</v>
      </c>
      <c r="BV31" t="e">
        <f>AND(ConsolidatedEventList!#REF!,"AAAAAH+u+Ek=")</f>
        <v>#REF!</v>
      </c>
      <c r="BW31" t="e">
        <f>AND(ConsolidatedEventList!#REF!,"AAAAAH+u+Eo=")</f>
        <v>#REF!</v>
      </c>
      <c r="BX31" t="e">
        <f>AND(ConsolidatedEventList!#REF!,"AAAAAH+u+Es=")</f>
        <v>#REF!</v>
      </c>
      <c r="BY31" t="e">
        <f>AND(ConsolidatedEventList!#REF!,"AAAAAH+u+Ew=")</f>
        <v>#REF!</v>
      </c>
      <c r="BZ31" t="e">
        <f>AND(ConsolidatedEventList!#REF!,"AAAAAH+u+E0=")</f>
        <v>#REF!</v>
      </c>
      <c r="CA31" t="e">
        <f>AND(ConsolidatedEventList!#REF!,"AAAAAH+u+E4=")</f>
        <v>#REF!</v>
      </c>
      <c r="CB31">
        <f>IF(ConsolidatedEventList!306:306,"AAAAAH+u+E8=",0)</f>
        <v>0</v>
      </c>
      <c r="CC31" t="b">
        <f>AND(ConsolidatedEventList!A306,"AAAAAH+u+FA=")</f>
        <v>0</v>
      </c>
      <c r="CD31" t="b">
        <f>AND(ConsolidatedEventList!B306,"AAAAAH+u+FE=")</f>
        <v>1</v>
      </c>
      <c r="CE31" t="e">
        <f>AND(ConsolidatedEventList!C306,"AAAAAH+u+FI=")</f>
        <v>#VALUE!</v>
      </c>
      <c r="CF31" t="e">
        <f>AND(ConsolidatedEventList!D306,"AAAAAH+u+FM=")</f>
        <v>#VALUE!</v>
      </c>
      <c r="CG31" t="b">
        <f>AND(ConsolidatedEventList!E306,"AAAAAH+u+FQ=")</f>
        <v>0</v>
      </c>
      <c r="CH31" t="b">
        <f>AND(ConsolidatedEventList!F306,"AAAAAH+u+FU=")</f>
        <v>0</v>
      </c>
      <c r="CI31" t="e">
        <f>AND(ConsolidatedEventList!G306,"AAAAAH+u+FY=")</f>
        <v>#VALUE!</v>
      </c>
      <c r="CJ31" t="e">
        <f>AND(ConsolidatedEventList!H306,"AAAAAH+u+Fc=")</f>
        <v>#VALUE!</v>
      </c>
      <c r="CK31" t="e">
        <f>AND(ConsolidatedEventList!#REF!,"AAAAAH+u+Fg=")</f>
        <v>#REF!</v>
      </c>
      <c r="CL31">
        <f>IF(ConsolidatedEventList!307:307,"AAAAAH+u+Fk=",0)</f>
        <v>0</v>
      </c>
      <c r="CM31" t="b">
        <f>AND(ConsolidatedEventList!A307,"AAAAAH+u+Fo=")</f>
        <v>0</v>
      </c>
      <c r="CN31" t="b">
        <f>AND(ConsolidatedEventList!B307,"AAAAAH+u+Fs=")</f>
        <v>1</v>
      </c>
      <c r="CO31" t="e">
        <f>AND(ConsolidatedEventList!C307,"AAAAAH+u+Fw=")</f>
        <v>#VALUE!</v>
      </c>
      <c r="CP31" t="e">
        <f>AND(ConsolidatedEventList!D307,"AAAAAH+u+F0=")</f>
        <v>#VALUE!</v>
      </c>
      <c r="CQ31" t="b">
        <f>AND(ConsolidatedEventList!E307,"AAAAAH+u+F4=")</f>
        <v>0</v>
      </c>
      <c r="CR31" t="b">
        <f>AND(ConsolidatedEventList!F307,"AAAAAH+u+F8=")</f>
        <v>0</v>
      </c>
      <c r="CS31" t="e">
        <f>AND(ConsolidatedEventList!G307,"AAAAAH+u+GA=")</f>
        <v>#VALUE!</v>
      </c>
      <c r="CT31" t="e">
        <f>AND(ConsolidatedEventList!H307,"AAAAAH+u+GE=")</f>
        <v>#VALUE!</v>
      </c>
      <c r="CU31" t="e">
        <f>AND(ConsolidatedEventList!#REF!,"AAAAAH+u+GI=")</f>
        <v>#REF!</v>
      </c>
      <c r="CV31">
        <f>IF(ConsolidatedEventList!308:308,"AAAAAH+u+GM=",0)</f>
        <v>0</v>
      </c>
      <c r="CW31" t="b">
        <f>AND(ConsolidatedEventList!A308,"AAAAAH+u+GQ=")</f>
        <v>0</v>
      </c>
      <c r="CX31" t="b">
        <f>AND(ConsolidatedEventList!B308,"AAAAAH+u+GU=")</f>
        <v>1</v>
      </c>
      <c r="CY31" t="e">
        <f>AND(ConsolidatedEventList!C308,"AAAAAH+u+GY=")</f>
        <v>#VALUE!</v>
      </c>
      <c r="CZ31" t="e">
        <f>AND(ConsolidatedEventList!D308,"AAAAAH+u+Gc=")</f>
        <v>#VALUE!</v>
      </c>
      <c r="DA31" t="b">
        <f>AND(ConsolidatedEventList!E308,"AAAAAH+u+Gg=")</f>
        <v>0</v>
      </c>
      <c r="DB31" t="b">
        <f>AND(ConsolidatedEventList!F308,"AAAAAH+u+Gk=")</f>
        <v>0</v>
      </c>
      <c r="DC31" t="e">
        <f>AND(ConsolidatedEventList!G308,"AAAAAH+u+Go=")</f>
        <v>#VALUE!</v>
      </c>
      <c r="DD31" t="e">
        <f>AND(ConsolidatedEventList!H308,"AAAAAH+u+Gs=")</f>
        <v>#VALUE!</v>
      </c>
      <c r="DE31" t="e">
        <f>AND(ConsolidatedEventList!#REF!,"AAAAAH+u+Gw=")</f>
        <v>#REF!</v>
      </c>
      <c r="DF31">
        <f>IF(ConsolidatedEventList!309:309,"AAAAAH+u+G0=",0)</f>
        <v>0</v>
      </c>
      <c r="DG31" t="b">
        <f>AND(ConsolidatedEventList!A309,"AAAAAH+u+G4=")</f>
        <v>0</v>
      </c>
      <c r="DH31" t="b">
        <f>AND(ConsolidatedEventList!B309,"AAAAAH+u+G8=")</f>
        <v>1</v>
      </c>
      <c r="DI31" t="e">
        <f>AND(ConsolidatedEventList!C309,"AAAAAH+u+HA=")</f>
        <v>#VALUE!</v>
      </c>
      <c r="DJ31" t="e">
        <f>AND(ConsolidatedEventList!D309,"AAAAAH+u+HE=")</f>
        <v>#VALUE!</v>
      </c>
      <c r="DK31" t="b">
        <f>AND(ConsolidatedEventList!E309,"AAAAAH+u+HI=")</f>
        <v>0</v>
      </c>
      <c r="DL31" t="b">
        <f>AND(ConsolidatedEventList!F309,"AAAAAH+u+HM=")</f>
        <v>0</v>
      </c>
      <c r="DM31" t="e">
        <f>AND(ConsolidatedEventList!G309,"AAAAAH+u+HQ=")</f>
        <v>#VALUE!</v>
      </c>
      <c r="DN31" t="e">
        <f>AND(ConsolidatedEventList!H309,"AAAAAH+u+HU=")</f>
        <v>#VALUE!</v>
      </c>
      <c r="DO31" t="e">
        <f>AND(ConsolidatedEventList!#REF!,"AAAAAH+u+HY=")</f>
        <v>#REF!</v>
      </c>
      <c r="DP31">
        <f>IF(ConsolidatedEventList!310:310,"AAAAAH+u+Hc=",0)</f>
        <v>0</v>
      </c>
      <c r="DQ31" t="b">
        <f>AND(ConsolidatedEventList!A310,"AAAAAH+u+Hg=")</f>
        <v>0</v>
      </c>
      <c r="DR31" t="b">
        <f>AND(ConsolidatedEventList!B310,"AAAAAH+u+Hk=")</f>
        <v>1</v>
      </c>
      <c r="DS31" t="e">
        <f>AND(ConsolidatedEventList!C310,"AAAAAH+u+Ho=")</f>
        <v>#VALUE!</v>
      </c>
      <c r="DT31" t="e">
        <f>AND(ConsolidatedEventList!D310,"AAAAAH+u+Hs=")</f>
        <v>#VALUE!</v>
      </c>
      <c r="DU31" t="b">
        <f>AND(ConsolidatedEventList!E310,"AAAAAH+u+Hw=")</f>
        <v>0</v>
      </c>
      <c r="DV31" t="b">
        <f>AND(ConsolidatedEventList!F310,"AAAAAH+u+H0=")</f>
        <v>0</v>
      </c>
      <c r="DW31" t="e">
        <f>AND(ConsolidatedEventList!G310,"AAAAAH+u+H4=")</f>
        <v>#VALUE!</v>
      </c>
      <c r="DX31" t="e">
        <f>AND(ConsolidatedEventList!H310,"AAAAAH+u+H8=")</f>
        <v>#VALUE!</v>
      </c>
      <c r="DY31" t="e">
        <f>AND(ConsolidatedEventList!#REF!,"AAAAAH+u+IA=")</f>
        <v>#REF!</v>
      </c>
      <c r="DZ31">
        <f>IF(ConsolidatedEventList!311:311,"AAAAAH+u+IE=",0)</f>
        <v>0</v>
      </c>
      <c r="EA31" t="b">
        <f>AND(ConsolidatedEventList!A311,"AAAAAH+u+II=")</f>
        <v>0</v>
      </c>
      <c r="EB31" t="b">
        <f>AND(ConsolidatedEventList!B311,"AAAAAH+u+IM=")</f>
        <v>1</v>
      </c>
      <c r="EC31" t="e">
        <f>AND(ConsolidatedEventList!C311,"AAAAAH+u+IQ=")</f>
        <v>#VALUE!</v>
      </c>
      <c r="ED31" t="e">
        <f>AND(ConsolidatedEventList!D311,"AAAAAH+u+IU=")</f>
        <v>#VALUE!</v>
      </c>
      <c r="EE31" t="b">
        <f>AND(ConsolidatedEventList!E311,"AAAAAH+u+IY=")</f>
        <v>0</v>
      </c>
      <c r="EF31" t="b">
        <f>AND(ConsolidatedEventList!F311,"AAAAAH+u+Ic=")</f>
        <v>0</v>
      </c>
      <c r="EG31" t="e">
        <f>AND(ConsolidatedEventList!G311,"AAAAAH+u+Ig=")</f>
        <v>#VALUE!</v>
      </c>
      <c r="EH31" t="e">
        <f>AND(ConsolidatedEventList!H311,"AAAAAH+u+Ik=")</f>
        <v>#VALUE!</v>
      </c>
      <c r="EI31" t="e">
        <f>AND(ConsolidatedEventList!#REF!,"AAAAAH+u+Io=")</f>
        <v>#REF!</v>
      </c>
      <c r="EJ31">
        <f>IF(ConsolidatedEventList!312:312,"AAAAAH+u+Is=",0)</f>
        <v>0</v>
      </c>
      <c r="EK31" t="b">
        <f>AND(ConsolidatedEventList!A312,"AAAAAH+u+Iw=")</f>
        <v>0</v>
      </c>
      <c r="EL31" t="b">
        <f>AND(ConsolidatedEventList!B312,"AAAAAH+u+I0=")</f>
        <v>1</v>
      </c>
      <c r="EM31" t="e">
        <f>AND(ConsolidatedEventList!C312,"AAAAAH+u+I4=")</f>
        <v>#VALUE!</v>
      </c>
      <c r="EN31" t="e">
        <f>AND(ConsolidatedEventList!D312,"AAAAAH+u+I8=")</f>
        <v>#VALUE!</v>
      </c>
      <c r="EO31" t="b">
        <f>AND(ConsolidatedEventList!E312,"AAAAAH+u+JA=")</f>
        <v>0</v>
      </c>
      <c r="EP31" t="b">
        <f>AND(ConsolidatedEventList!F312,"AAAAAH+u+JE=")</f>
        <v>0</v>
      </c>
      <c r="EQ31" t="e">
        <f>AND(ConsolidatedEventList!G312,"AAAAAH+u+JI=")</f>
        <v>#VALUE!</v>
      </c>
      <c r="ER31" t="e">
        <f>AND(ConsolidatedEventList!H312,"AAAAAH+u+JM=")</f>
        <v>#VALUE!</v>
      </c>
      <c r="ES31" t="e">
        <f>AND(ConsolidatedEventList!#REF!,"AAAAAH+u+JQ=")</f>
        <v>#REF!</v>
      </c>
      <c r="ET31">
        <f>IF(ConsolidatedEventList!313:313,"AAAAAH+u+JU=",0)</f>
        <v>0</v>
      </c>
      <c r="EU31" t="b">
        <f>AND(ConsolidatedEventList!A313,"AAAAAH+u+JY=")</f>
        <v>0</v>
      </c>
      <c r="EV31" t="b">
        <f>AND(ConsolidatedEventList!B313,"AAAAAH+u+Jc=")</f>
        <v>1</v>
      </c>
      <c r="EW31" t="e">
        <f>AND(ConsolidatedEventList!C313,"AAAAAH+u+Jg=")</f>
        <v>#VALUE!</v>
      </c>
      <c r="EX31" t="e">
        <f>AND(ConsolidatedEventList!D313,"AAAAAH+u+Jk=")</f>
        <v>#VALUE!</v>
      </c>
      <c r="EY31" t="b">
        <f>AND(ConsolidatedEventList!E313,"AAAAAH+u+Jo=")</f>
        <v>0</v>
      </c>
      <c r="EZ31" t="b">
        <f>AND(ConsolidatedEventList!F313,"AAAAAH+u+Js=")</f>
        <v>0</v>
      </c>
      <c r="FA31" t="e">
        <f>AND(ConsolidatedEventList!G313,"AAAAAH+u+Jw=")</f>
        <v>#VALUE!</v>
      </c>
      <c r="FB31" t="e">
        <f>AND(ConsolidatedEventList!H313,"AAAAAH+u+J0=")</f>
        <v>#VALUE!</v>
      </c>
      <c r="FC31" t="e">
        <f>AND(ConsolidatedEventList!#REF!,"AAAAAH+u+J4=")</f>
        <v>#REF!</v>
      </c>
      <c r="FD31" t="e">
        <f>IF(ConsolidatedEventList!#REF!,"AAAAAH+u+J8=",0)</f>
        <v>#REF!</v>
      </c>
      <c r="FE31" t="e">
        <f>AND(ConsolidatedEventList!#REF!,"AAAAAH+u+KA=")</f>
        <v>#REF!</v>
      </c>
      <c r="FF31" t="e">
        <f>AND(ConsolidatedEventList!#REF!,"AAAAAH+u+KE=")</f>
        <v>#REF!</v>
      </c>
      <c r="FG31" t="e">
        <f>AND(ConsolidatedEventList!#REF!,"AAAAAH+u+KI=")</f>
        <v>#REF!</v>
      </c>
      <c r="FH31" t="e">
        <f>AND(ConsolidatedEventList!#REF!,"AAAAAH+u+KM=")</f>
        <v>#REF!</v>
      </c>
      <c r="FI31" t="e">
        <f>AND(ConsolidatedEventList!#REF!,"AAAAAH+u+KQ=")</f>
        <v>#REF!</v>
      </c>
      <c r="FJ31" t="e">
        <f>AND(ConsolidatedEventList!#REF!,"AAAAAH+u+KU=")</f>
        <v>#REF!</v>
      </c>
      <c r="FK31" t="e">
        <f>AND(ConsolidatedEventList!#REF!,"AAAAAH+u+KY=")</f>
        <v>#REF!</v>
      </c>
      <c r="FL31" t="e">
        <f>AND(ConsolidatedEventList!#REF!,"AAAAAH+u+Kc=")</f>
        <v>#REF!</v>
      </c>
      <c r="FM31" t="e">
        <f>AND(ConsolidatedEventList!#REF!,"AAAAAH+u+Kg=")</f>
        <v>#REF!</v>
      </c>
      <c r="FN31" t="e">
        <f>IF(ConsolidatedEventList!#REF!,"AAAAAH+u+Kk=",0)</f>
        <v>#REF!</v>
      </c>
      <c r="FO31" t="e">
        <f>AND(ConsolidatedEventList!#REF!,"AAAAAH+u+Ko=")</f>
        <v>#REF!</v>
      </c>
      <c r="FP31" t="e">
        <f>AND(ConsolidatedEventList!#REF!,"AAAAAH+u+Ks=")</f>
        <v>#REF!</v>
      </c>
      <c r="FQ31" t="e">
        <f>AND(ConsolidatedEventList!#REF!,"AAAAAH+u+Kw=")</f>
        <v>#REF!</v>
      </c>
      <c r="FR31" t="e">
        <f>AND(ConsolidatedEventList!#REF!,"AAAAAH+u+K0=")</f>
        <v>#REF!</v>
      </c>
      <c r="FS31" t="e">
        <f>AND(ConsolidatedEventList!#REF!,"AAAAAH+u+K4=")</f>
        <v>#REF!</v>
      </c>
      <c r="FT31" t="e">
        <f>AND(ConsolidatedEventList!#REF!,"AAAAAH+u+K8=")</f>
        <v>#REF!</v>
      </c>
      <c r="FU31" t="e">
        <f>AND(ConsolidatedEventList!#REF!,"AAAAAH+u+LA=")</f>
        <v>#REF!</v>
      </c>
      <c r="FV31" t="e">
        <f>AND(ConsolidatedEventList!#REF!,"AAAAAH+u+LE=")</f>
        <v>#REF!</v>
      </c>
      <c r="FW31" t="e">
        <f>AND(ConsolidatedEventList!#REF!,"AAAAAH+u+LI=")</f>
        <v>#REF!</v>
      </c>
      <c r="FX31">
        <f>IF(ConsolidatedEventList!314:314,"AAAAAH+u+LM=",0)</f>
        <v>0</v>
      </c>
      <c r="FY31" t="b">
        <f>AND(ConsolidatedEventList!A314,"AAAAAH+u+LQ=")</f>
        <v>0</v>
      </c>
      <c r="FZ31" t="b">
        <f>AND(ConsolidatedEventList!B314,"AAAAAH+u+LU=")</f>
        <v>1</v>
      </c>
      <c r="GA31" t="e">
        <f>AND(ConsolidatedEventList!C314,"AAAAAH+u+LY=")</f>
        <v>#VALUE!</v>
      </c>
      <c r="GB31" t="e">
        <f>AND(ConsolidatedEventList!D314,"AAAAAH+u+Lc=")</f>
        <v>#VALUE!</v>
      </c>
      <c r="GC31" t="b">
        <f>AND(ConsolidatedEventList!E314,"AAAAAH+u+Lg=")</f>
        <v>0</v>
      </c>
      <c r="GD31" t="b">
        <f>AND(ConsolidatedEventList!F314,"AAAAAH+u+Lk=")</f>
        <v>0</v>
      </c>
      <c r="GE31" t="e">
        <f>AND(ConsolidatedEventList!G314,"AAAAAH+u+Lo=")</f>
        <v>#VALUE!</v>
      </c>
      <c r="GF31" t="e">
        <f>AND(ConsolidatedEventList!H314,"AAAAAH+u+Ls=")</f>
        <v>#VALUE!</v>
      </c>
      <c r="GG31" t="e">
        <f>AND(ConsolidatedEventList!#REF!,"AAAAAH+u+Lw=")</f>
        <v>#REF!</v>
      </c>
      <c r="GH31">
        <f>IF(ConsolidatedEventList!315:315,"AAAAAH+u+L0=",0)</f>
        <v>0</v>
      </c>
      <c r="GI31" t="b">
        <f>AND(ConsolidatedEventList!A315,"AAAAAH+u+L4=")</f>
        <v>0</v>
      </c>
      <c r="GJ31" t="b">
        <f>AND(ConsolidatedEventList!B315,"AAAAAH+u+L8=")</f>
        <v>1</v>
      </c>
      <c r="GK31" t="e">
        <f>AND(ConsolidatedEventList!C315,"AAAAAH+u+MA=")</f>
        <v>#VALUE!</v>
      </c>
      <c r="GL31" t="e">
        <f>AND(ConsolidatedEventList!D315,"AAAAAH+u+ME=")</f>
        <v>#VALUE!</v>
      </c>
      <c r="GM31" t="b">
        <f>AND(ConsolidatedEventList!E315,"AAAAAH+u+MI=")</f>
        <v>0</v>
      </c>
      <c r="GN31" t="b">
        <f>AND(ConsolidatedEventList!F315,"AAAAAH+u+MM=")</f>
        <v>0</v>
      </c>
      <c r="GO31" t="e">
        <f>AND(ConsolidatedEventList!G315,"AAAAAH+u+MQ=")</f>
        <v>#VALUE!</v>
      </c>
      <c r="GP31" t="e">
        <f>AND(ConsolidatedEventList!H315,"AAAAAH+u+MU=")</f>
        <v>#VALUE!</v>
      </c>
      <c r="GQ31" t="e">
        <f>AND(ConsolidatedEventList!#REF!,"AAAAAH+u+MY=")</f>
        <v>#REF!</v>
      </c>
      <c r="GR31">
        <f>IF(ConsolidatedEventList!316:316,"AAAAAH+u+Mc=",0)</f>
        <v>0</v>
      </c>
      <c r="GS31" t="b">
        <f>AND(ConsolidatedEventList!A316,"AAAAAH+u+Mg=")</f>
        <v>0</v>
      </c>
      <c r="GT31" t="b">
        <f>AND(ConsolidatedEventList!B316,"AAAAAH+u+Mk=")</f>
        <v>1</v>
      </c>
      <c r="GU31" t="e">
        <f>AND(ConsolidatedEventList!C316,"AAAAAH+u+Mo=")</f>
        <v>#VALUE!</v>
      </c>
      <c r="GV31" t="e">
        <f>AND(ConsolidatedEventList!D316,"AAAAAH+u+Ms=")</f>
        <v>#VALUE!</v>
      </c>
      <c r="GW31" t="b">
        <f>AND(ConsolidatedEventList!E316,"AAAAAH+u+Mw=")</f>
        <v>0</v>
      </c>
      <c r="GX31" t="b">
        <f>AND(ConsolidatedEventList!F316,"AAAAAH+u+M0=")</f>
        <v>0</v>
      </c>
      <c r="GY31" t="e">
        <f>AND(ConsolidatedEventList!G316,"AAAAAH+u+M4=")</f>
        <v>#VALUE!</v>
      </c>
      <c r="GZ31" t="e">
        <f>AND(ConsolidatedEventList!H316,"AAAAAH+u+M8=")</f>
        <v>#VALUE!</v>
      </c>
      <c r="HA31" t="e">
        <f>AND(ConsolidatedEventList!#REF!,"AAAAAH+u+NA=")</f>
        <v>#REF!</v>
      </c>
      <c r="HB31">
        <f>IF(ConsolidatedEventList!317:317,"AAAAAH+u+NE=",0)</f>
        <v>0</v>
      </c>
      <c r="HC31" t="b">
        <f>AND(ConsolidatedEventList!A317,"AAAAAH+u+NI=")</f>
        <v>0</v>
      </c>
      <c r="HD31" t="b">
        <f>AND(ConsolidatedEventList!B317,"AAAAAH+u+NM=")</f>
        <v>1</v>
      </c>
      <c r="HE31" t="e">
        <f>AND(ConsolidatedEventList!C317,"AAAAAH+u+NQ=")</f>
        <v>#VALUE!</v>
      </c>
      <c r="HF31" t="e">
        <f>AND(ConsolidatedEventList!D317,"AAAAAH+u+NU=")</f>
        <v>#VALUE!</v>
      </c>
      <c r="HG31" t="b">
        <f>AND(ConsolidatedEventList!E317,"AAAAAH+u+NY=")</f>
        <v>0</v>
      </c>
      <c r="HH31" t="b">
        <f>AND(ConsolidatedEventList!F317,"AAAAAH+u+Nc=")</f>
        <v>0</v>
      </c>
      <c r="HI31" t="e">
        <f>AND(ConsolidatedEventList!G317,"AAAAAH+u+Ng=")</f>
        <v>#VALUE!</v>
      </c>
      <c r="HJ31" t="e">
        <f>AND(ConsolidatedEventList!H317,"AAAAAH+u+Nk=")</f>
        <v>#VALUE!</v>
      </c>
      <c r="HK31" t="e">
        <f>AND(ConsolidatedEventList!#REF!,"AAAAAH+u+No=")</f>
        <v>#REF!</v>
      </c>
      <c r="HL31">
        <f>IF(ConsolidatedEventList!318:318,"AAAAAH+u+Ns=",0)</f>
        <v>0</v>
      </c>
      <c r="HM31" t="b">
        <f>AND(ConsolidatedEventList!A318,"AAAAAH+u+Nw=")</f>
        <v>0</v>
      </c>
      <c r="HN31" t="b">
        <f>AND(ConsolidatedEventList!B318,"AAAAAH+u+N0=")</f>
        <v>1</v>
      </c>
      <c r="HO31" t="e">
        <f>AND(ConsolidatedEventList!C318,"AAAAAH+u+N4=")</f>
        <v>#VALUE!</v>
      </c>
      <c r="HP31" t="e">
        <f>AND(ConsolidatedEventList!D318,"AAAAAH+u+N8=")</f>
        <v>#VALUE!</v>
      </c>
      <c r="HQ31" t="b">
        <f>AND(ConsolidatedEventList!E318,"AAAAAH+u+OA=")</f>
        <v>0</v>
      </c>
      <c r="HR31" t="b">
        <f>AND(ConsolidatedEventList!F318,"AAAAAH+u+OE=")</f>
        <v>0</v>
      </c>
      <c r="HS31" t="e">
        <f>AND(ConsolidatedEventList!G318,"AAAAAH+u+OI=")</f>
        <v>#VALUE!</v>
      </c>
      <c r="HT31" t="e">
        <f>AND(ConsolidatedEventList!H318,"AAAAAH+u+OM=")</f>
        <v>#VALUE!</v>
      </c>
      <c r="HU31" t="e">
        <f>AND(ConsolidatedEventList!#REF!,"AAAAAH+u+OQ=")</f>
        <v>#REF!</v>
      </c>
      <c r="HV31">
        <f>IF(ConsolidatedEventList!319:319,"AAAAAH+u+OU=",0)</f>
        <v>0</v>
      </c>
      <c r="HW31" t="b">
        <f>AND(ConsolidatedEventList!A319,"AAAAAH+u+OY=")</f>
        <v>0</v>
      </c>
      <c r="HX31" t="b">
        <f>AND(ConsolidatedEventList!B319,"AAAAAH+u+Oc=")</f>
        <v>1</v>
      </c>
      <c r="HY31" t="e">
        <f>AND(ConsolidatedEventList!C319,"AAAAAH+u+Og=")</f>
        <v>#VALUE!</v>
      </c>
      <c r="HZ31" t="e">
        <f>AND(ConsolidatedEventList!D319,"AAAAAH+u+Ok=")</f>
        <v>#VALUE!</v>
      </c>
      <c r="IA31" t="b">
        <f>AND(ConsolidatedEventList!E319,"AAAAAH+u+Oo=")</f>
        <v>0</v>
      </c>
      <c r="IB31" t="b">
        <f>AND(ConsolidatedEventList!F319,"AAAAAH+u+Os=")</f>
        <v>0</v>
      </c>
      <c r="IC31" t="e">
        <f>AND(ConsolidatedEventList!G319,"AAAAAH+u+Ow=")</f>
        <v>#VALUE!</v>
      </c>
      <c r="ID31" t="e">
        <f>AND(ConsolidatedEventList!H319,"AAAAAH+u+O0=")</f>
        <v>#VALUE!</v>
      </c>
      <c r="IE31" t="e">
        <f>AND(ConsolidatedEventList!#REF!,"AAAAAH+u+O4=")</f>
        <v>#REF!</v>
      </c>
      <c r="IF31">
        <f>IF(ConsolidatedEventList!320:320,"AAAAAH+u+O8=",0)</f>
        <v>0</v>
      </c>
      <c r="IG31" t="b">
        <f>AND(ConsolidatedEventList!A320,"AAAAAH+u+PA=")</f>
        <v>0</v>
      </c>
      <c r="IH31" t="b">
        <f>AND(ConsolidatedEventList!B320,"AAAAAH+u+PE=")</f>
        <v>1</v>
      </c>
      <c r="II31" t="e">
        <f>AND(ConsolidatedEventList!C320,"AAAAAH+u+PI=")</f>
        <v>#VALUE!</v>
      </c>
      <c r="IJ31" t="e">
        <f>AND(ConsolidatedEventList!D320,"AAAAAH+u+PM=")</f>
        <v>#VALUE!</v>
      </c>
      <c r="IK31" t="b">
        <f>AND(ConsolidatedEventList!E320,"AAAAAH+u+PQ=")</f>
        <v>0</v>
      </c>
      <c r="IL31" t="b">
        <f>AND(ConsolidatedEventList!F320,"AAAAAH+u+PU=")</f>
        <v>0</v>
      </c>
      <c r="IM31" t="e">
        <f>AND(ConsolidatedEventList!G320,"AAAAAH+u+PY=")</f>
        <v>#VALUE!</v>
      </c>
      <c r="IN31" t="e">
        <f>AND(ConsolidatedEventList!H320,"AAAAAH+u+Pc=")</f>
        <v>#VALUE!</v>
      </c>
      <c r="IO31" t="e">
        <f>AND(ConsolidatedEventList!#REF!,"AAAAAH+u+Pg=")</f>
        <v>#REF!</v>
      </c>
      <c r="IP31">
        <f>IF(ConsolidatedEventList!321:321,"AAAAAH+u+Pk=",0)</f>
        <v>0</v>
      </c>
      <c r="IQ31" t="b">
        <f>AND(ConsolidatedEventList!A321,"AAAAAH+u+Po=")</f>
        <v>0</v>
      </c>
      <c r="IR31" t="b">
        <f>AND(ConsolidatedEventList!B321,"AAAAAH+u+Ps=")</f>
        <v>1</v>
      </c>
      <c r="IS31" t="e">
        <f>AND(ConsolidatedEventList!C321,"AAAAAH+u+Pw=")</f>
        <v>#VALUE!</v>
      </c>
      <c r="IT31" t="e">
        <f>AND(ConsolidatedEventList!D321,"AAAAAH+u+P0=")</f>
        <v>#VALUE!</v>
      </c>
      <c r="IU31" t="b">
        <f>AND(ConsolidatedEventList!E321,"AAAAAH+u+P4=")</f>
        <v>0</v>
      </c>
      <c r="IV31" t="b">
        <f>AND(ConsolidatedEventList!F321,"AAAAAH+u+P8=")</f>
        <v>0</v>
      </c>
    </row>
    <row r="32" spans="1:256" x14ac:dyDescent="0.25">
      <c r="A32" t="e">
        <f>AND(ConsolidatedEventList!G321,"AAAAAH9z6wA=")</f>
        <v>#VALUE!</v>
      </c>
      <c r="B32" t="e">
        <f>AND(ConsolidatedEventList!H321,"AAAAAH9z6wE=")</f>
        <v>#VALUE!</v>
      </c>
      <c r="C32" t="e">
        <f>AND(ConsolidatedEventList!#REF!,"AAAAAH9z6wI=")</f>
        <v>#REF!</v>
      </c>
      <c r="D32" t="e">
        <f>IF(ConsolidatedEventList!#REF!,"AAAAAH9z6wM=",0)</f>
        <v>#REF!</v>
      </c>
      <c r="E32" t="e">
        <f>AND(ConsolidatedEventList!#REF!,"AAAAAH9z6wQ=")</f>
        <v>#REF!</v>
      </c>
      <c r="F32" t="e">
        <f>AND(ConsolidatedEventList!#REF!,"AAAAAH9z6wU=")</f>
        <v>#REF!</v>
      </c>
      <c r="G32" t="e">
        <f>AND(ConsolidatedEventList!#REF!,"AAAAAH9z6wY=")</f>
        <v>#REF!</v>
      </c>
      <c r="H32" t="e">
        <f>AND(ConsolidatedEventList!#REF!,"AAAAAH9z6wc=")</f>
        <v>#REF!</v>
      </c>
      <c r="I32" t="e">
        <f>AND(ConsolidatedEventList!#REF!,"AAAAAH9z6wg=")</f>
        <v>#REF!</v>
      </c>
      <c r="J32" t="e">
        <f>AND(ConsolidatedEventList!#REF!,"AAAAAH9z6wk=")</f>
        <v>#REF!</v>
      </c>
      <c r="K32" t="e">
        <f>AND(ConsolidatedEventList!#REF!,"AAAAAH9z6wo=")</f>
        <v>#REF!</v>
      </c>
      <c r="L32" t="e">
        <f>AND(ConsolidatedEventList!#REF!,"AAAAAH9z6ws=")</f>
        <v>#REF!</v>
      </c>
      <c r="M32" t="e">
        <f>AND(ConsolidatedEventList!#REF!,"AAAAAH9z6ww=")</f>
        <v>#REF!</v>
      </c>
      <c r="N32" t="e">
        <f>IF(ConsolidatedEventList!#REF!,"AAAAAH9z6w0=",0)</f>
        <v>#REF!</v>
      </c>
      <c r="O32" t="e">
        <f>AND(ConsolidatedEventList!#REF!,"AAAAAH9z6w4=")</f>
        <v>#REF!</v>
      </c>
      <c r="P32" t="e">
        <f>AND(ConsolidatedEventList!#REF!,"AAAAAH9z6w8=")</f>
        <v>#REF!</v>
      </c>
      <c r="Q32" t="e">
        <f>AND(ConsolidatedEventList!#REF!,"AAAAAH9z6xA=")</f>
        <v>#REF!</v>
      </c>
      <c r="R32" t="e">
        <f>AND(ConsolidatedEventList!#REF!,"AAAAAH9z6xE=")</f>
        <v>#REF!</v>
      </c>
      <c r="S32" t="e">
        <f>AND(ConsolidatedEventList!#REF!,"AAAAAH9z6xI=")</f>
        <v>#REF!</v>
      </c>
      <c r="T32" t="e">
        <f>AND(ConsolidatedEventList!#REF!,"AAAAAH9z6xM=")</f>
        <v>#REF!</v>
      </c>
      <c r="U32" t="e">
        <f>AND(ConsolidatedEventList!#REF!,"AAAAAH9z6xQ=")</f>
        <v>#REF!</v>
      </c>
      <c r="V32" t="e">
        <f>AND(ConsolidatedEventList!#REF!,"AAAAAH9z6xU=")</f>
        <v>#REF!</v>
      </c>
      <c r="W32" t="e">
        <f>AND(ConsolidatedEventList!#REF!,"AAAAAH9z6xY=")</f>
        <v>#REF!</v>
      </c>
      <c r="X32">
        <f>IF(ConsolidatedEventList!324:324,"AAAAAH9z6xc=",0)</f>
        <v>0</v>
      </c>
      <c r="Y32" t="b">
        <f>AND(ConsolidatedEventList!A324,"AAAAAH9z6xg=")</f>
        <v>0</v>
      </c>
      <c r="Z32" t="b">
        <f>AND(ConsolidatedEventList!B324,"AAAAAH9z6xk=")</f>
        <v>1</v>
      </c>
      <c r="AA32" t="e">
        <f>AND(ConsolidatedEventList!C324,"AAAAAH9z6xo=")</f>
        <v>#VALUE!</v>
      </c>
      <c r="AB32" t="e">
        <f>AND(ConsolidatedEventList!D324,"AAAAAH9z6xs=")</f>
        <v>#VALUE!</v>
      </c>
      <c r="AC32" t="b">
        <f>AND(ConsolidatedEventList!E324,"AAAAAH9z6xw=")</f>
        <v>0</v>
      </c>
      <c r="AD32" t="b">
        <f>AND(ConsolidatedEventList!F324,"AAAAAH9z6x0=")</f>
        <v>0</v>
      </c>
      <c r="AE32" t="e">
        <f>AND(ConsolidatedEventList!G324,"AAAAAH9z6x4=")</f>
        <v>#VALUE!</v>
      </c>
      <c r="AF32" t="e">
        <f>AND(ConsolidatedEventList!H324,"AAAAAH9z6x8=")</f>
        <v>#VALUE!</v>
      </c>
      <c r="AG32" t="e">
        <f>AND(ConsolidatedEventList!#REF!,"AAAAAH9z6yA=")</f>
        <v>#REF!</v>
      </c>
      <c r="AH32">
        <f>IF(ConsolidatedEventList!325:325,"AAAAAH9z6yE=",0)</f>
        <v>0</v>
      </c>
      <c r="AI32" t="b">
        <f>AND(ConsolidatedEventList!A325,"AAAAAH9z6yI=")</f>
        <v>0</v>
      </c>
      <c r="AJ32" t="b">
        <f>AND(ConsolidatedEventList!B325,"AAAAAH9z6yM=")</f>
        <v>1</v>
      </c>
      <c r="AK32" t="e">
        <f>AND(ConsolidatedEventList!C325,"AAAAAH9z6yQ=")</f>
        <v>#VALUE!</v>
      </c>
      <c r="AL32" t="e">
        <f>AND(ConsolidatedEventList!D325,"AAAAAH9z6yU=")</f>
        <v>#VALUE!</v>
      </c>
      <c r="AM32" t="b">
        <f>AND(ConsolidatedEventList!E325,"AAAAAH9z6yY=")</f>
        <v>0</v>
      </c>
      <c r="AN32" t="b">
        <f>AND(ConsolidatedEventList!F325,"AAAAAH9z6yc=")</f>
        <v>0</v>
      </c>
      <c r="AO32" t="e">
        <f>AND(ConsolidatedEventList!G325,"AAAAAH9z6yg=")</f>
        <v>#VALUE!</v>
      </c>
      <c r="AP32" t="e">
        <f>AND(ConsolidatedEventList!H325,"AAAAAH9z6yk=")</f>
        <v>#VALUE!</v>
      </c>
      <c r="AQ32" t="e">
        <f>AND(ConsolidatedEventList!#REF!,"AAAAAH9z6yo=")</f>
        <v>#REF!</v>
      </c>
      <c r="AR32">
        <f>IF(ConsolidatedEventList!326:326,"AAAAAH9z6ys=",0)</f>
        <v>0</v>
      </c>
      <c r="AS32" t="b">
        <f>AND(ConsolidatedEventList!A326,"AAAAAH9z6yw=")</f>
        <v>0</v>
      </c>
      <c r="AT32" t="b">
        <f>AND(ConsolidatedEventList!B326,"AAAAAH9z6y0=")</f>
        <v>1</v>
      </c>
      <c r="AU32" t="e">
        <f>AND(ConsolidatedEventList!C326,"AAAAAH9z6y4=")</f>
        <v>#VALUE!</v>
      </c>
      <c r="AV32" t="e">
        <f>AND(ConsolidatedEventList!D326,"AAAAAH9z6y8=")</f>
        <v>#VALUE!</v>
      </c>
      <c r="AW32" t="b">
        <f>AND(ConsolidatedEventList!E326,"AAAAAH9z6zA=")</f>
        <v>0</v>
      </c>
      <c r="AX32" t="b">
        <f>AND(ConsolidatedEventList!F326,"AAAAAH9z6zE=")</f>
        <v>0</v>
      </c>
      <c r="AY32" t="e">
        <f>AND(ConsolidatedEventList!G326,"AAAAAH9z6zI=")</f>
        <v>#VALUE!</v>
      </c>
      <c r="AZ32" t="e">
        <f>AND(ConsolidatedEventList!H326,"AAAAAH9z6zM=")</f>
        <v>#VALUE!</v>
      </c>
      <c r="BA32" t="e">
        <f>AND(ConsolidatedEventList!#REF!,"AAAAAH9z6zQ=")</f>
        <v>#REF!</v>
      </c>
      <c r="BB32">
        <f>IF(ConsolidatedEventList!327:327,"AAAAAH9z6zU=",0)</f>
        <v>0</v>
      </c>
      <c r="BC32" t="b">
        <f>AND(ConsolidatedEventList!A327,"AAAAAH9z6zY=")</f>
        <v>0</v>
      </c>
      <c r="BD32" t="b">
        <f>AND(ConsolidatedEventList!B327,"AAAAAH9z6zc=")</f>
        <v>1</v>
      </c>
      <c r="BE32" t="e">
        <f>AND(ConsolidatedEventList!C327,"AAAAAH9z6zg=")</f>
        <v>#VALUE!</v>
      </c>
      <c r="BF32" t="e">
        <f>AND(ConsolidatedEventList!D327,"AAAAAH9z6zk=")</f>
        <v>#VALUE!</v>
      </c>
      <c r="BG32" t="b">
        <f>AND(ConsolidatedEventList!E327,"AAAAAH9z6zo=")</f>
        <v>0</v>
      </c>
      <c r="BH32" t="b">
        <f>AND(ConsolidatedEventList!F327,"AAAAAH9z6zs=")</f>
        <v>0</v>
      </c>
      <c r="BI32" t="e">
        <f>AND(ConsolidatedEventList!G327,"AAAAAH9z6zw=")</f>
        <v>#VALUE!</v>
      </c>
      <c r="BJ32" t="e">
        <f>AND(ConsolidatedEventList!H327,"AAAAAH9z6z0=")</f>
        <v>#VALUE!</v>
      </c>
      <c r="BK32" t="e">
        <f>AND(ConsolidatedEventList!#REF!,"AAAAAH9z6z4=")</f>
        <v>#REF!</v>
      </c>
      <c r="BL32">
        <f>IF(ConsolidatedEventList!328:328,"AAAAAH9z6z8=",0)</f>
        <v>0</v>
      </c>
      <c r="BM32" t="b">
        <f>AND(ConsolidatedEventList!A328,"AAAAAH9z60A=")</f>
        <v>0</v>
      </c>
      <c r="BN32" t="b">
        <f>AND(ConsolidatedEventList!B328,"AAAAAH9z60E=")</f>
        <v>1</v>
      </c>
      <c r="BO32" t="e">
        <f>AND(ConsolidatedEventList!C328,"AAAAAH9z60I=")</f>
        <v>#VALUE!</v>
      </c>
      <c r="BP32" t="e">
        <f>AND(ConsolidatedEventList!D328,"AAAAAH9z60M=")</f>
        <v>#VALUE!</v>
      </c>
      <c r="BQ32" t="b">
        <f>AND(ConsolidatedEventList!E328,"AAAAAH9z60Q=")</f>
        <v>0</v>
      </c>
      <c r="BR32" t="b">
        <f>AND(ConsolidatedEventList!F328,"AAAAAH9z60U=")</f>
        <v>0</v>
      </c>
      <c r="BS32" t="e">
        <f>AND(ConsolidatedEventList!G328,"AAAAAH9z60Y=")</f>
        <v>#VALUE!</v>
      </c>
      <c r="BT32" t="e">
        <f>AND(ConsolidatedEventList!H328,"AAAAAH9z60c=")</f>
        <v>#VALUE!</v>
      </c>
      <c r="BU32" t="e">
        <f>AND(ConsolidatedEventList!#REF!,"AAAAAH9z60g=")</f>
        <v>#REF!</v>
      </c>
      <c r="BV32">
        <f>IF(ConsolidatedEventList!329:329,"AAAAAH9z60k=",0)</f>
        <v>0</v>
      </c>
      <c r="BW32" t="b">
        <f>AND(ConsolidatedEventList!A329,"AAAAAH9z60o=")</f>
        <v>0</v>
      </c>
      <c r="BX32" t="b">
        <f>AND(ConsolidatedEventList!B329,"AAAAAH9z60s=")</f>
        <v>1</v>
      </c>
      <c r="BY32" t="e">
        <f>AND(ConsolidatedEventList!C329,"AAAAAH9z60w=")</f>
        <v>#VALUE!</v>
      </c>
      <c r="BZ32" t="e">
        <f>AND(ConsolidatedEventList!D329,"AAAAAH9z600=")</f>
        <v>#VALUE!</v>
      </c>
      <c r="CA32" t="b">
        <f>AND(ConsolidatedEventList!E329,"AAAAAH9z604=")</f>
        <v>0</v>
      </c>
      <c r="CB32" t="b">
        <f>AND(ConsolidatedEventList!F329,"AAAAAH9z608=")</f>
        <v>0</v>
      </c>
      <c r="CC32" t="e">
        <f>AND(ConsolidatedEventList!G329,"AAAAAH9z61A=")</f>
        <v>#VALUE!</v>
      </c>
      <c r="CD32" t="e">
        <f>AND(ConsolidatedEventList!H329,"AAAAAH9z61E=")</f>
        <v>#VALUE!</v>
      </c>
      <c r="CE32" t="e">
        <f>AND(ConsolidatedEventList!#REF!,"AAAAAH9z61I=")</f>
        <v>#REF!</v>
      </c>
      <c r="CF32">
        <f>IF(ConsolidatedEventList!330:330,"AAAAAH9z61M=",0)</f>
        <v>0</v>
      </c>
      <c r="CG32" t="b">
        <f>AND(ConsolidatedEventList!A330,"AAAAAH9z61Q=")</f>
        <v>0</v>
      </c>
      <c r="CH32" t="b">
        <f>AND(ConsolidatedEventList!B330,"AAAAAH9z61U=")</f>
        <v>1</v>
      </c>
      <c r="CI32" t="e">
        <f>AND(ConsolidatedEventList!C330,"AAAAAH9z61Y=")</f>
        <v>#VALUE!</v>
      </c>
      <c r="CJ32" t="e">
        <f>AND(ConsolidatedEventList!D330,"AAAAAH9z61c=")</f>
        <v>#VALUE!</v>
      </c>
      <c r="CK32" t="b">
        <f>AND(ConsolidatedEventList!E330,"AAAAAH9z61g=")</f>
        <v>0</v>
      </c>
      <c r="CL32" t="b">
        <f>AND(ConsolidatedEventList!F330,"AAAAAH9z61k=")</f>
        <v>0</v>
      </c>
      <c r="CM32" t="e">
        <f>AND(ConsolidatedEventList!G330,"AAAAAH9z61o=")</f>
        <v>#VALUE!</v>
      </c>
      <c r="CN32" t="e">
        <f>AND(ConsolidatedEventList!H330,"AAAAAH9z61s=")</f>
        <v>#VALUE!</v>
      </c>
      <c r="CO32" t="e">
        <f>AND(ConsolidatedEventList!#REF!,"AAAAAH9z61w=")</f>
        <v>#REF!</v>
      </c>
      <c r="CP32">
        <f>IF(ConsolidatedEventList!331:331,"AAAAAH9z610=",0)</f>
        <v>0</v>
      </c>
      <c r="CQ32" t="b">
        <f>AND(ConsolidatedEventList!A331,"AAAAAH9z614=")</f>
        <v>0</v>
      </c>
      <c r="CR32" t="b">
        <f>AND(ConsolidatedEventList!B331,"AAAAAH9z618=")</f>
        <v>1</v>
      </c>
      <c r="CS32" t="e">
        <f>AND(ConsolidatedEventList!C331,"AAAAAH9z62A=")</f>
        <v>#VALUE!</v>
      </c>
      <c r="CT32" t="e">
        <f>AND(ConsolidatedEventList!D331,"AAAAAH9z62E=")</f>
        <v>#VALUE!</v>
      </c>
      <c r="CU32" t="b">
        <f>AND(ConsolidatedEventList!E331,"AAAAAH9z62I=")</f>
        <v>0</v>
      </c>
      <c r="CV32" t="b">
        <f>AND(ConsolidatedEventList!F331,"AAAAAH9z62M=")</f>
        <v>0</v>
      </c>
      <c r="CW32" t="e">
        <f>AND(ConsolidatedEventList!G331,"AAAAAH9z62Q=")</f>
        <v>#VALUE!</v>
      </c>
      <c r="CX32" t="e">
        <f>AND(ConsolidatedEventList!H331,"AAAAAH9z62U=")</f>
        <v>#VALUE!</v>
      </c>
      <c r="CY32" t="e">
        <f>AND(ConsolidatedEventList!#REF!,"AAAAAH9z62Y=")</f>
        <v>#REF!</v>
      </c>
      <c r="CZ32">
        <f>IF(ConsolidatedEventList!332:332,"AAAAAH9z62c=",0)</f>
        <v>0</v>
      </c>
      <c r="DA32" t="e">
        <f>AND(ConsolidatedEventList!#REF!,"AAAAAH9z62g=")</f>
        <v>#REF!</v>
      </c>
      <c r="DB32" t="e">
        <f>AND(ConsolidatedEventList!#REF!,"AAAAAH9z62k=")</f>
        <v>#REF!</v>
      </c>
      <c r="DC32" t="e">
        <f>AND(ConsolidatedEventList!#REF!,"AAAAAH9z62o=")</f>
        <v>#REF!</v>
      </c>
      <c r="DD32" t="e">
        <f>AND(ConsolidatedEventList!#REF!,"AAAAAH9z62s=")</f>
        <v>#REF!</v>
      </c>
      <c r="DE32" t="e">
        <f>AND(ConsolidatedEventList!#REF!,"AAAAAH9z62w=")</f>
        <v>#REF!</v>
      </c>
      <c r="DF32" t="e">
        <f>AND(ConsolidatedEventList!#REF!,"AAAAAH9z620=")</f>
        <v>#REF!</v>
      </c>
      <c r="DG32" t="e">
        <f>AND(ConsolidatedEventList!#REF!,"AAAAAH9z624=")</f>
        <v>#REF!</v>
      </c>
      <c r="DH32" t="e">
        <f>AND(ConsolidatedEventList!#REF!,"AAAAAH9z628=")</f>
        <v>#REF!</v>
      </c>
      <c r="DI32" t="e">
        <f>AND(ConsolidatedEventList!#REF!,"AAAAAH9z63A=")</f>
        <v>#REF!</v>
      </c>
      <c r="DJ32">
        <f>IF(ConsolidatedEventList!333:333,"AAAAAH9z63E=",0)</f>
        <v>0</v>
      </c>
      <c r="DK32" t="e">
        <f>AND(ConsolidatedEventList!#REF!,"AAAAAH9z63I=")</f>
        <v>#REF!</v>
      </c>
      <c r="DL32" t="e">
        <f>AND(ConsolidatedEventList!#REF!,"AAAAAH9z63M=")</f>
        <v>#REF!</v>
      </c>
      <c r="DM32" t="e">
        <f>AND(ConsolidatedEventList!#REF!,"AAAAAH9z63Q=")</f>
        <v>#REF!</v>
      </c>
      <c r="DN32" t="e">
        <f>AND(ConsolidatedEventList!#REF!,"AAAAAH9z63U=")</f>
        <v>#REF!</v>
      </c>
      <c r="DO32" t="e">
        <f>AND(ConsolidatedEventList!#REF!,"AAAAAH9z63Y=")</f>
        <v>#REF!</v>
      </c>
      <c r="DP32" t="e">
        <f>AND(ConsolidatedEventList!#REF!,"AAAAAH9z63c=")</f>
        <v>#REF!</v>
      </c>
      <c r="DQ32" t="e">
        <f>AND(ConsolidatedEventList!#REF!,"AAAAAH9z63g=")</f>
        <v>#REF!</v>
      </c>
      <c r="DR32" t="e">
        <f>AND(ConsolidatedEventList!#REF!,"AAAAAH9z63k=")</f>
        <v>#REF!</v>
      </c>
      <c r="DS32" t="e">
        <f>AND(ConsolidatedEventList!#REF!,"AAAAAH9z63o=")</f>
        <v>#REF!</v>
      </c>
      <c r="DT32">
        <f>IF(ConsolidatedEventList!334:334,"AAAAAH9z63s=",0)</f>
        <v>0</v>
      </c>
      <c r="DU32" t="e">
        <f>AND(ConsolidatedEventList!#REF!,"AAAAAH9z63w=")</f>
        <v>#REF!</v>
      </c>
      <c r="DV32" t="e">
        <f>AND(ConsolidatedEventList!#REF!,"AAAAAH9z630=")</f>
        <v>#REF!</v>
      </c>
      <c r="DW32" t="e">
        <f>AND(ConsolidatedEventList!#REF!,"AAAAAH9z634=")</f>
        <v>#REF!</v>
      </c>
      <c r="DX32" t="e">
        <f>AND(ConsolidatedEventList!#REF!,"AAAAAH9z638=")</f>
        <v>#REF!</v>
      </c>
      <c r="DY32" t="e">
        <f>AND(ConsolidatedEventList!#REF!,"AAAAAH9z64A=")</f>
        <v>#REF!</v>
      </c>
      <c r="DZ32" t="e">
        <f>AND(ConsolidatedEventList!#REF!,"AAAAAH9z64E=")</f>
        <v>#REF!</v>
      </c>
      <c r="EA32" t="e">
        <f>AND(ConsolidatedEventList!#REF!,"AAAAAH9z64I=")</f>
        <v>#REF!</v>
      </c>
      <c r="EB32" t="e">
        <f>AND(ConsolidatedEventList!#REF!,"AAAAAH9z64M=")</f>
        <v>#REF!</v>
      </c>
      <c r="EC32" t="e">
        <f>AND(ConsolidatedEventList!#REF!,"AAAAAH9z64Q=")</f>
        <v>#REF!</v>
      </c>
      <c r="ED32">
        <f>IF(ConsolidatedEventList!335:335,"AAAAAH9z64U=",0)</f>
        <v>0</v>
      </c>
      <c r="EE32" t="e">
        <f>AND(ConsolidatedEventList!#REF!,"AAAAAH9z64Y=")</f>
        <v>#REF!</v>
      </c>
      <c r="EF32" t="e">
        <f>AND(ConsolidatedEventList!#REF!,"AAAAAH9z64c=")</f>
        <v>#REF!</v>
      </c>
      <c r="EG32" t="e">
        <f>AND(ConsolidatedEventList!#REF!,"AAAAAH9z64g=")</f>
        <v>#REF!</v>
      </c>
      <c r="EH32" t="e">
        <f>AND(ConsolidatedEventList!#REF!,"AAAAAH9z64k=")</f>
        <v>#REF!</v>
      </c>
      <c r="EI32" t="e">
        <f>AND(ConsolidatedEventList!#REF!,"AAAAAH9z64o=")</f>
        <v>#REF!</v>
      </c>
      <c r="EJ32" t="e">
        <f>AND(ConsolidatedEventList!#REF!,"AAAAAH9z64s=")</f>
        <v>#REF!</v>
      </c>
      <c r="EK32" t="e">
        <f>AND(ConsolidatedEventList!#REF!,"AAAAAH9z64w=")</f>
        <v>#REF!</v>
      </c>
      <c r="EL32" t="e">
        <f>AND(ConsolidatedEventList!#REF!,"AAAAAH9z640=")</f>
        <v>#REF!</v>
      </c>
      <c r="EM32" t="e">
        <f>AND(ConsolidatedEventList!#REF!,"AAAAAH9z644=")</f>
        <v>#REF!</v>
      </c>
      <c r="EN32">
        <f>IF(ConsolidatedEventList!336:336,"AAAAAH9z648=",0)</f>
        <v>0</v>
      </c>
      <c r="EO32" t="e">
        <f>AND(ConsolidatedEventList!#REF!,"AAAAAH9z65A=")</f>
        <v>#REF!</v>
      </c>
      <c r="EP32" t="e">
        <f>AND(ConsolidatedEventList!#REF!,"AAAAAH9z65E=")</f>
        <v>#REF!</v>
      </c>
      <c r="EQ32" t="e">
        <f>AND(ConsolidatedEventList!#REF!,"AAAAAH9z65I=")</f>
        <v>#REF!</v>
      </c>
      <c r="ER32" t="e">
        <f>AND(ConsolidatedEventList!#REF!,"AAAAAH9z65M=")</f>
        <v>#REF!</v>
      </c>
      <c r="ES32" t="e">
        <f>AND(ConsolidatedEventList!#REF!,"AAAAAH9z65Q=")</f>
        <v>#REF!</v>
      </c>
      <c r="ET32" t="e">
        <f>AND(ConsolidatedEventList!#REF!,"AAAAAH9z65U=")</f>
        <v>#REF!</v>
      </c>
      <c r="EU32" t="e">
        <f>AND(ConsolidatedEventList!#REF!,"AAAAAH9z65Y=")</f>
        <v>#REF!</v>
      </c>
      <c r="EV32" t="e">
        <f>AND(ConsolidatedEventList!#REF!,"AAAAAH9z65c=")</f>
        <v>#REF!</v>
      </c>
      <c r="EW32" t="e">
        <f>AND(ConsolidatedEventList!#REF!,"AAAAAH9z65g=")</f>
        <v>#REF!</v>
      </c>
      <c r="EX32">
        <f>IF(ConsolidatedEventList!337:337,"AAAAAH9z65k=",0)</f>
        <v>0</v>
      </c>
      <c r="EY32" t="e">
        <f>AND(ConsolidatedEventList!#REF!,"AAAAAH9z65o=")</f>
        <v>#REF!</v>
      </c>
      <c r="EZ32" t="e">
        <f>AND(ConsolidatedEventList!#REF!,"AAAAAH9z65s=")</f>
        <v>#REF!</v>
      </c>
      <c r="FA32" t="e">
        <f>AND(ConsolidatedEventList!#REF!,"AAAAAH9z65w=")</f>
        <v>#REF!</v>
      </c>
      <c r="FB32" t="e">
        <f>AND(ConsolidatedEventList!#REF!,"AAAAAH9z650=")</f>
        <v>#REF!</v>
      </c>
      <c r="FC32" t="e">
        <f>AND(ConsolidatedEventList!#REF!,"AAAAAH9z654=")</f>
        <v>#REF!</v>
      </c>
      <c r="FD32" t="e">
        <f>AND(ConsolidatedEventList!#REF!,"AAAAAH9z658=")</f>
        <v>#REF!</v>
      </c>
      <c r="FE32" t="e">
        <f>AND(ConsolidatedEventList!#REF!,"AAAAAH9z66A=")</f>
        <v>#REF!</v>
      </c>
      <c r="FF32" t="e">
        <f>AND(ConsolidatedEventList!#REF!,"AAAAAH9z66E=")</f>
        <v>#REF!</v>
      </c>
      <c r="FG32" t="e">
        <f>AND(ConsolidatedEventList!#REF!,"AAAAAH9z66I=")</f>
        <v>#REF!</v>
      </c>
      <c r="FH32">
        <f>IF(ConsolidatedEventList!338:338,"AAAAAH9z66M=",0)</f>
        <v>0</v>
      </c>
      <c r="FI32" t="e">
        <f>AND(ConsolidatedEventList!#REF!,"AAAAAH9z66Q=")</f>
        <v>#REF!</v>
      </c>
      <c r="FJ32" t="e">
        <f>AND(ConsolidatedEventList!#REF!,"AAAAAH9z66U=")</f>
        <v>#REF!</v>
      </c>
      <c r="FK32" t="e">
        <f>AND(ConsolidatedEventList!#REF!,"AAAAAH9z66Y=")</f>
        <v>#REF!</v>
      </c>
      <c r="FL32" t="e">
        <f>AND(ConsolidatedEventList!#REF!,"AAAAAH9z66c=")</f>
        <v>#REF!</v>
      </c>
      <c r="FM32" t="e">
        <f>AND(ConsolidatedEventList!#REF!,"AAAAAH9z66g=")</f>
        <v>#REF!</v>
      </c>
      <c r="FN32" t="e">
        <f>AND(ConsolidatedEventList!#REF!,"AAAAAH9z66k=")</f>
        <v>#REF!</v>
      </c>
      <c r="FO32" t="e">
        <f>AND(ConsolidatedEventList!#REF!,"AAAAAH9z66o=")</f>
        <v>#REF!</v>
      </c>
      <c r="FP32" t="e">
        <f>AND(ConsolidatedEventList!#REF!,"AAAAAH9z66s=")</f>
        <v>#REF!</v>
      </c>
      <c r="FQ32" t="e">
        <f>AND(ConsolidatedEventList!#REF!,"AAAAAH9z66w=")</f>
        <v>#REF!</v>
      </c>
      <c r="FR32">
        <f>IF(ConsolidatedEventList!339:339,"AAAAAH9z660=",0)</f>
        <v>0</v>
      </c>
      <c r="FS32" t="e">
        <f>AND(ConsolidatedEventList!#REF!,"AAAAAH9z664=")</f>
        <v>#REF!</v>
      </c>
      <c r="FT32" t="e">
        <f>AND(ConsolidatedEventList!#REF!,"AAAAAH9z668=")</f>
        <v>#REF!</v>
      </c>
      <c r="FU32" t="e">
        <f>AND(ConsolidatedEventList!#REF!,"AAAAAH9z67A=")</f>
        <v>#REF!</v>
      </c>
      <c r="FV32" t="e">
        <f>AND(ConsolidatedEventList!#REF!,"AAAAAH9z67E=")</f>
        <v>#REF!</v>
      </c>
      <c r="FW32" t="e">
        <f>AND(ConsolidatedEventList!#REF!,"AAAAAH9z67I=")</f>
        <v>#REF!</v>
      </c>
      <c r="FX32" t="e">
        <f>AND(ConsolidatedEventList!#REF!,"AAAAAH9z67M=")</f>
        <v>#REF!</v>
      </c>
      <c r="FY32" t="e">
        <f>AND(ConsolidatedEventList!#REF!,"AAAAAH9z67Q=")</f>
        <v>#REF!</v>
      </c>
      <c r="FZ32" t="e">
        <f>AND(ConsolidatedEventList!#REF!,"AAAAAH9z67U=")</f>
        <v>#REF!</v>
      </c>
      <c r="GA32" t="e">
        <f>AND(ConsolidatedEventList!#REF!,"AAAAAH9z67Y=")</f>
        <v>#REF!</v>
      </c>
      <c r="GB32" t="e">
        <f>IF(ConsolidatedEventList!#REF!,"AAAAAH9z67c=",0)</f>
        <v>#REF!</v>
      </c>
      <c r="GC32" t="e">
        <f>AND(ConsolidatedEventList!#REF!,"AAAAAH9z67g=")</f>
        <v>#REF!</v>
      </c>
      <c r="GD32" t="e">
        <f>AND(ConsolidatedEventList!#REF!,"AAAAAH9z67k=")</f>
        <v>#REF!</v>
      </c>
      <c r="GE32" t="e">
        <f>AND(ConsolidatedEventList!#REF!,"AAAAAH9z67o=")</f>
        <v>#REF!</v>
      </c>
      <c r="GF32" t="e">
        <f>AND(ConsolidatedEventList!#REF!,"AAAAAH9z67s=")</f>
        <v>#REF!</v>
      </c>
      <c r="GG32" t="e">
        <f>AND(ConsolidatedEventList!#REF!,"AAAAAH9z67w=")</f>
        <v>#REF!</v>
      </c>
      <c r="GH32" t="e">
        <f>AND(ConsolidatedEventList!#REF!,"AAAAAH9z670=")</f>
        <v>#REF!</v>
      </c>
      <c r="GI32" t="e">
        <f>AND(ConsolidatedEventList!#REF!,"AAAAAH9z674=")</f>
        <v>#REF!</v>
      </c>
      <c r="GJ32" t="e">
        <f>AND(ConsolidatedEventList!#REF!,"AAAAAH9z678=")</f>
        <v>#REF!</v>
      </c>
      <c r="GK32" t="e">
        <f>AND(ConsolidatedEventList!#REF!,"AAAAAH9z68A=")</f>
        <v>#REF!</v>
      </c>
      <c r="GL32" t="e">
        <f>IF(ConsolidatedEventList!#REF!,"AAAAAH9z68E=",0)</f>
        <v>#REF!</v>
      </c>
      <c r="GM32" t="e">
        <f>AND(ConsolidatedEventList!#REF!,"AAAAAH9z68I=")</f>
        <v>#REF!</v>
      </c>
      <c r="GN32" t="e">
        <f>AND(ConsolidatedEventList!#REF!,"AAAAAH9z68M=")</f>
        <v>#REF!</v>
      </c>
      <c r="GO32" t="e">
        <f>AND(ConsolidatedEventList!#REF!,"AAAAAH9z68Q=")</f>
        <v>#REF!</v>
      </c>
      <c r="GP32" t="e">
        <f>AND(ConsolidatedEventList!#REF!,"AAAAAH9z68U=")</f>
        <v>#REF!</v>
      </c>
      <c r="GQ32" t="e">
        <f>AND(ConsolidatedEventList!#REF!,"AAAAAH9z68Y=")</f>
        <v>#REF!</v>
      </c>
      <c r="GR32" t="e">
        <f>AND(ConsolidatedEventList!#REF!,"AAAAAH9z68c=")</f>
        <v>#REF!</v>
      </c>
      <c r="GS32" t="e">
        <f>AND(ConsolidatedEventList!#REF!,"AAAAAH9z68g=")</f>
        <v>#REF!</v>
      </c>
      <c r="GT32" t="e">
        <f>AND(ConsolidatedEventList!#REF!,"AAAAAH9z68k=")</f>
        <v>#REF!</v>
      </c>
      <c r="GU32" t="e">
        <f>AND(ConsolidatedEventList!#REF!,"AAAAAH9z68o=")</f>
        <v>#REF!</v>
      </c>
      <c r="GV32">
        <f>IF(ConsolidatedEventList!340:340,"AAAAAH9z68s=",0)</f>
        <v>0</v>
      </c>
      <c r="GW32" t="b">
        <f>AND(ConsolidatedEventList!A396,"AAAAAH9z68w=")</f>
        <v>0</v>
      </c>
      <c r="GX32" t="b">
        <f>AND(ConsolidatedEventList!B396,"AAAAAH9z680=")</f>
        <v>1</v>
      </c>
      <c r="GY32" t="e">
        <f>AND(ConsolidatedEventList!C396,"AAAAAH9z684=")</f>
        <v>#VALUE!</v>
      </c>
      <c r="GZ32" t="e">
        <f>AND(ConsolidatedEventList!D396,"AAAAAH9z688=")</f>
        <v>#VALUE!</v>
      </c>
      <c r="HA32" t="b">
        <f>AND(ConsolidatedEventList!E396,"AAAAAH9z69A=")</f>
        <v>0</v>
      </c>
      <c r="HB32" t="b">
        <f>AND(ConsolidatedEventList!F396,"AAAAAH9z69E=")</f>
        <v>0</v>
      </c>
      <c r="HC32" t="b">
        <f>AND(ConsolidatedEventList!G396,"AAAAAH9z69I=")</f>
        <v>0</v>
      </c>
      <c r="HD32" t="b">
        <f>AND(ConsolidatedEventList!H396,"AAAAAH9z69M=")</f>
        <v>0</v>
      </c>
      <c r="HE32" t="e">
        <f>AND(ConsolidatedEventList!#REF!,"AAAAAH9z69Q=")</f>
        <v>#REF!</v>
      </c>
      <c r="HF32">
        <f>IF(ConsolidatedEventList!341:341,"AAAAAH9z69U=",0)</f>
        <v>0</v>
      </c>
      <c r="HG32" t="b">
        <f>AND(ConsolidatedEventList!A397,"AAAAAH9z69Y=")</f>
        <v>0</v>
      </c>
      <c r="HH32" t="b">
        <f>AND(ConsolidatedEventList!B397,"AAAAAH9z69c=")</f>
        <v>1</v>
      </c>
      <c r="HI32" t="e">
        <f>AND(ConsolidatedEventList!C397,"AAAAAH9z69g=")</f>
        <v>#VALUE!</v>
      </c>
      <c r="HJ32" t="e">
        <f>AND(ConsolidatedEventList!D397,"AAAAAH9z69k=")</f>
        <v>#VALUE!</v>
      </c>
      <c r="HK32" t="b">
        <f>AND(ConsolidatedEventList!E397,"AAAAAH9z69o=")</f>
        <v>0</v>
      </c>
      <c r="HL32" t="b">
        <f>AND(ConsolidatedEventList!F397,"AAAAAH9z69s=")</f>
        <v>0</v>
      </c>
      <c r="HM32" t="b">
        <f>AND(ConsolidatedEventList!G397,"AAAAAH9z69w=")</f>
        <v>0</v>
      </c>
      <c r="HN32" t="b">
        <f>AND(ConsolidatedEventList!H397,"AAAAAH9z690=")</f>
        <v>0</v>
      </c>
      <c r="HO32" t="e">
        <f>AND(ConsolidatedEventList!#REF!,"AAAAAH9z694=")</f>
        <v>#REF!</v>
      </c>
      <c r="HP32">
        <f>IF(ConsolidatedEventList!342:342,"AAAAAH9z698=",0)</f>
        <v>0</v>
      </c>
      <c r="HQ32" t="b">
        <f>AND(ConsolidatedEventList!A398,"AAAAAH9z6+A=")</f>
        <v>0</v>
      </c>
      <c r="HR32" t="b">
        <f>AND(ConsolidatedEventList!B398,"AAAAAH9z6+E=")</f>
        <v>1</v>
      </c>
      <c r="HS32" t="e">
        <f>AND(ConsolidatedEventList!C398,"AAAAAH9z6+I=")</f>
        <v>#VALUE!</v>
      </c>
      <c r="HT32" t="e">
        <f>AND(ConsolidatedEventList!D398,"AAAAAH9z6+M=")</f>
        <v>#VALUE!</v>
      </c>
      <c r="HU32" t="b">
        <f>AND(ConsolidatedEventList!E398,"AAAAAH9z6+Q=")</f>
        <v>0</v>
      </c>
      <c r="HV32" t="b">
        <f>AND(ConsolidatedEventList!F398,"AAAAAH9z6+U=")</f>
        <v>0</v>
      </c>
      <c r="HW32" t="b">
        <f>AND(ConsolidatedEventList!G398,"AAAAAH9z6+Y=")</f>
        <v>0</v>
      </c>
      <c r="HX32" t="b">
        <f>AND(ConsolidatedEventList!H398,"AAAAAH9z6+c=")</f>
        <v>0</v>
      </c>
      <c r="HY32" t="e">
        <f>AND(ConsolidatedEventList!#REF!,"AAAAAH9z6+g=")</f>
        <v>#REF!</v>
      </c>
      <c r="HZ32">
        <f>IF(ConsolidatedEventList!343:343,"AAAAAH9z6+k=",0)</f>
        <v>0</v>
      </c>
      <c r="IA32" t="b">
        <f>AND(ConsolidatedEventList!A399,"AAAAAH9z6+o=")</f>
        <v>0</v>
      </c>
      <c r="IB32" t="b">
        <f>AND(ConsolidatedEventList!B399,"AAAAAH9z6+s=")</f>
        <v>1</v>
      </c>
      <c r="IC32" t="e">
        <f>AND(ConsolidatedEventList!C399,"AAAAAH9z6+w=")</f>
        <v>#VALUE!</v>
      </c>
      <c r="ID32" t="e">
        <f>AND(ConsolidatedEventList!D399,"AAAAAH9z6+0=")</f>
        <v>#VALUE!</v>
      </c>
      <c r="IE32" t="b">
        <f>AND(ConsolidatedEventList!E399,"AAAAAH9z6+4=")</f>
        <v>0</v>
      </c>
      <c r="IF32" t="b">
        <f>AND(ConsolidatedEventList!F399,"AAAAAH9z6+8=")</f>
        <v>0</v>
      </c>
      <c r="IG32" t="b">
        <f>AND(ConsolidatedEventList!G399,"AAAAAH9z6/A=")</f>
        <v>0</v>
      </c>
      <c r="IH32" t="b">
        <f>AND(ConsolidatedEventList!H399,"AAAAAH9z6/E=")</f>
        <v>0</v>
      </c>
      <c r="II32" t="e">
        <f>AND(ConsolidatedEventList!#REF!,"AAAAAH9z6/I=")</f>
        <v>#REF!</v>
      </c>
      <c r="IJ32">
        <f>IF(ConsolidatedEventList!344:344,"AAAAAH9z6/M=",0)</f>
        <v>0</v>
      </c>
      <c r="IK32" t="b">
        <f>AND(ConsolidatedEventList!A400,"AAAAAH9z6/Q=")</f>
        <v>0</v>
      </c>
      <c r="IL32" t="b">
        <f>AND(ConsolidatedEventList!B400,"AAAAAH9z6/U=")</f>
        <v>1</v>
      </c>
      <c r="IM32" t="e">
        <f>AND(ConsolidatedEventList!C400,"AAAAAH9z6/Y=")</f>
        <v>#VALUE!</v>
      </c>
      <c r="IN32" t="e">
        <f>AND(ConsolidatedEventList!D400,"AAAAAH9z6/c=")</f>
        <v>#VALUE!</v>
      </c>
      <c r="IO32" t="b">
        <f>AND(ConsolidatedEventList!E400,"AAAAAH9z6/g=")</f>
        <v>0</v>
      </c>
      <c r="IP32" t="b">
        <f>AND(ConsolidatedEventList!F400,"AAAAAH9z6/k=")</f>
        <v>0</v>
      </c>
      <c r="IQ32" t="b">
        <f>AND(ConsolidatedEventList!G400,"AAAAAH9z6/o=")</f>
        <v>0</v>
      </c>
      <c r="IR32" t="b">
        <f>AND(ConsolidatedEventList!H400,"AAAAAH9z6/s=")</f>
        <v>0</v>
      </c>
      <c r="IS32" t="e">
        <f>AND(ConsolidatedEventList!#REF!,"AAAAAH9z6/w=")</f>
        <v>#REF!</v>
      </c>
      <c r="IT32">
        <f>IF(ConsolidatedEventList!345:345,"AAAAAH9z6/0=",0)</f>
        <v>0</v>
      </c>
      <c r="IU32" t="b">
        <f>AND(ConsolidatedEventList!A401,"AAAAAH9z6/4=")</f>
        <v>0</v>
      </c>
      <c r="IV32" t="b">
        <f>AND(ConsolidatedEventList!B401,"AAAAAH9z6/8=")</f>
        <v>1</v>
      </c>
    </row>
    <row r="33" spans="1:248" x14ac:dyDescent="0.25">
      <c r="A33" t="e">
        <f>AND(ConsolidatedEventList!C401,"AAAAADa36wA=")</f>
        <v>#VALUE!</v>
      </c>
      <c r="B33" t="e">
        <f>AND(ConsolidatedEventList!D401,"AAAAADa36wE=")</f>
        <v>#VALUE!</v>
      </c>
      <c r="C33" t="b">
        <f>AND(ConsolidatedEventList!E401,"AAAAADa36wI=")</f>
        <v>0</v>
      </c>
      <c r="D33" t="b">
        <f>AND(ConsolidatedEventList!F401,"AAAAADa36wM=")</f>
        <v>0</v>
      </c>
      <c r="E33" t="b">
        <f>AND(ConsolidatedEventList!G401,"AAAAADa36wQ=")</f>
        <v>0</v>
      </c>
      <c r="F33" t="b">
        <f>AND(ConsolidatedEventList!H401,"AAAAADa36wU=")</f>
        <v>0</v>
      </c>
      <c r="G33" t="e">
        <f>AND(ConsolidatedEventList!#REF!,"AAAAADa36wY=")</f>
        <v>#REF!</v>
      </c>
      <c r="H33">
        <f>IF(ConsolidatedEventList!346:346,"AAAAADa36wc=",0)</f>
        <v>0</v>
      </c>
      <c r="I33" t="b">
        <f>AND(ConsolidatedEventList!A402,"AAAAADa36wg=")</f>
        <v>0</v>
      </c>
      <c r="J33" t="b">
        <f>AND(ConsolidatedEventList!B402,"AAAAADa36wk=")</f>
        <v>1</v>
      </c>
      <c r="K33" t="e">
        <f>AND(ConsolidatedEventList!C402,"AAAAADa36wo=")</f>
        <v>#VALUE!</v>
      </c>
      <c r="L33" t="e">
        <f>AND(ConsolidatedEventList!D402,"AAAAADa36ws=")</f>
        <v>#VALUE!</v>
      </c>
      <c r="M33" t="b">
        <f>AND(ConsolidatedEventList!E402,"AAAAADa36ww=")</f>
        <v>0</v>
      </c>
      <c r="N33" t="b">
        <f>AND(ConsolidatedEventList!F402,"AAAAADa36w0=")</f>
        <v>0</v>
      </c>
      <c r="O33" t="b">
        <f>AND(ConsolidatedEventList!G402,"AAAAADa36w4=")</f>
        <v>0</v>
      </c>
      <c r="P33" t="b">
        <f>AND(ConsolidatedEventList!H402,"AAAAADa36w8=")</f>
        <v>0</v>
      </c>
      <c r="Q33" t="e">
        <f>AND(ConsolidatedEventList!#REF!,"AAAAADa36xA=")</f>
        <v>#REF!</v>
      </c>
      <c r="R33">
        <f>IF(ConsolidatedEventList!347:347,"AAAAADa36xE=",0)</f>
        <v>0</v>
      </c>
      <c r="S33" t="b">
        <f>AND(ConsolidatedEventList!A403,"AAAAADa36xI=")</f>
        <v>0</v>
      </c>
      <c r="T33" t="b">
        <f>AND(ConsolidatedEventList!B403,"AAAAADa36xM=")</f>
        <v>1</v>
      </c>
      <c r="U33" t="e">
        <f>AND(ConsolidatedEventList!C403,"AAAAADa36xQ=")</f>
        <v>#VALUE!</v>
      </c>
      <c r="V33" t="e">
        <f>AND(ConsolidatedEventList!D403,"AAAAADa36xU=")</f>
        <v>#VALUE!</v>
      </c>
      <c r="W33" t="b">
        <f>AND(ConsolidatedEventList!E403,"AAAAADa36xY=")</f>
        <v>0</v>
      </c>
      <c r="X33" t="b">
        <f>AND(ConsolidatedEventList!F403,"AAAAADa36xc=")</f>
        <v>0</v>
      </c>
      <c r="Y33" t="b">
        <f>AND(ConsolidatedEventList!G403,"AAAAADa36xg=")</f>
        <v>0</v>
      </c>
      <c r="Z33" t="b">
        <f>AND(ConsolidatedEventList!H403,"AAAAADa36xk=")</f>
        <v>0</v>
      </c>
      <c r="AA33" t="e">
        <f>AND(ConsolidatedEventList!#REF!,"AAAAADa36xo=")</f>
        <v>#REF!</v>
      </c>
      <c r="AB33" t="e">
        <f>IF(ConsolidatedEventList!#REF!,"AAAAADa36xs=",0)</f>
        <v>#REF!</v>
      </c>
      <c r="AC33" t="e">
        <f>AND(ConsolidatedEventList!#REF!,"AAAAADa36xw=")</f>
        <v>#REF!</v>
      </c>
      <c r="AD33" t="e">
        <f>AND(ConsolidatedEventList!#REF!,"AAAAADa36x0=")</f>
        <v>#REF!</v>
      </c>
      <c r="AE33" t="e">
        <f>AND(ConsolidatedEventList!#REF!,"AAAAADa36x4=")</f>
        <v>#REF!</v>
      </c>
      <c r="AF33" t="e">
        <f>AND(ConsolidatedEventList!#REF!,"AAAAADa36x8=")</f>
        <v>#REF!</v>
      </c>
      <c r="AG33" t="e">
        <f>AND(ConsolidatedEventList!#REF!,"AAAAADa36yA=")</f>
        <v>#REF!</v>
      </c>
      <c r="AH33" t="e">
        <f>AND(ConsolidatedEventList!#REF!,"AAAAADa36yE=")</f>
        <v>#REF!</v>
      </c>
      <c r="AI33" t="e">
        <f>AND(ConsolidatedEventList!#REF!,"AAAAADa36yI=")</f>
        <v>#REF!</v>
      </c>
      <c r="AJ33" t="e">
        <f>AND(ConsolidatedEventList!#REF!,"AAAAADa36yM=")</f>
        <v>#REF!</v>
      </c>
      <c r="AK33" t="e">
        <f>AND(ConsolidatedEventList!#REF!,"AAAAADa36yQ=")</f>
        <v>#REF!</v>
      </c>
      <c r="AL33" t="e">
        <f>IF(ConsolidatedEventList!#REF!,"AAAAADa36yU=",0)</f>
        <v>#REF!</v>
      </c>
      <c r="AM33" t="e">
        <f>AND(ConsolidatedEventList!#REF!,"AAAAADa36yY=")</f>
        <v>#REF!</v>
      </c>
      <c r="AN33" t="e">
        <f>AND(ConsolidatedEventList!#REF!,"AAAAADa36yc=")</f>
        <v>#REF!</v>
      </c>
      <c r="AO33" t="e">
        <f>AND(ConsolidatedEventList!#REF!,"AAAAADa36yg=")</f>
        <v>#REF!</v>
      </c>
      <c r="AP33" t="e">
        <f>AND(ConsolidatedEventList!#REF!,"AAAAADa36yk=")</f>
        <v>#REF!</v>
      </c>
      <c r="AQ33" t="e">
        <f>AND(ConsolidatedEventList!#REF!,"AAAAADa36yo=")</f>
        <v>#REF!</v>
      </c>
      <c r="AR33" t="e">
        <f>AND(ConsolidatedEventList!#REF!,"AAAAADa36ys=")</f>
        <v>#REF!</v>
      </c>
      <c r="AS33" t="e">
        <f>AND(ConsolidatedEventList!#REF!,"AAAAADa36yw=")</f>
        <v>#REF!</v>
      </c>
      <c r="AT33" t="e">
        <f>AND(ConsolidatedEventList!#REF!,"AAAAADa36y0=")</f>
        <v>#REF!</v>
      </c>
      <c r="AU33" t="e">
        <f>AND(ConsolidatedEventList!#REF!,"AAAAADa36y4=")</f>
        <v>#REF!</v>
      </c>
      <c r="AV33">
        <f>IF(ConsolidatedEventList!348:348,"AAAAADa36y8=",0)</f>
        <v>0</v>
      </c>
      <c r="AW33" t="b">
        <f>AND(ConsolidatedEventList!A404,"AAAAADa36zA=")</f>
        <v>0</v>
      </c>
      <c r="AX33" t="b">
        <f>AND(ConsolidatedEventList!B404,"AAAAADa36zE=")</f>
        <v>1</v>
      </c>
      <c r="AY33" t="e">
        <f>AND(ConsolidatedEventList!C404,"AAAAADa36zI=")</f>
        <v>#VALUE!</v>
      </c>
      <c r="AZ33" t="e">
        <f>AND(ConsolidatedEventList!D404,"AAAAADa36zM=")</f>
        <v>#VALUE!</v>
      </c>
      <c r="BA33" t="b">
        <f>AND(ConsolidatedEventList!E404,"AAAAADa36zQ=")</f>
        <v>0</v>
      </c>
      <c r="BB33" t="b">
        <f>AND(ConsolidatedEventList!F404,"AAAAADa36zU=")</f>
        <v>0</v>
      </c>
      <c r="BC33" t="b">
        <f>AND(ConsolidatedEventList!G404,"AAAAADa36zY=")</f>
        <v>0</v>
      </c>
      <c r="BD33" t="b">
        <f>AND(ConsolidatedEventList!H404,"AAAAADa36zc=")</f>
        <v>0</v>
      </c>
      <c r="BE33" t="e">
        <f>AND(ConsolidatedEventList!#REF!,"AAAAADa36zg=")</f>
        <v>#REF!</v>
      </c>
      <c r="BF33">
        <f>IF(ConsolidatedEventList!349:349,"AAAAADa36zk=",0)</f>
        <v>0</v>
      </c>
      <c r="BG33" t="b">
        <f>AND(ConsolidatedEventList!A405,"AAAAADa36zo=")</f>
        <v>0</v>
      </c>
      <c r="BH33" t="b">
        <f>AND(ConsolidatedEventList!B405,"AAAAADa36zs=")</f>
        <v>1</v>
      </c>
      <c r="BI33" t="e">
        <f>AND(ConsolidatedEventList!C405,"AAAAADa36zw=")</f>
        <v>#VALUE!</v>
      </c>
      <c r="BJ33" t="e">
        <f>AND(ConsolidatedEventList!D405,"AAAAADa36z0=")</f>
        <v>#VALUE!</v>
      </c>
      <c r="BK33" t="b">
        <f>AND(ConsolidatedEventList!E405,"AAAAADa36z4=")</f>
        <v>0</v>
      </c>
      <c r="BL33" t="b">
        <f>AND(ConsolidatedEventList!F405,"AAAAADa36z8=")</f>
        <v>0</v>
      </c>
      <c r="BM33" t="b">
        <f>AND(ConsolidatedEventList!G405,"AAAAADa360A=")</f>
        <v>0</v>
      </c>
      <c r="BN33" t="b">
        <f>AND(ConsolidatedEventList!H405,"AAAAADa360E=")</f>
        <v>0</v>
      </c>
      <c r="BO33" t="e">
        <f>AND(ConsolidatedEventList!#REF!,"AAAAADa360I=")</f>
        <v>#REF!</v>
      </c>
      <c r="BP33">
        <f>IF(ConsolidatedEventList!350:350,"AAAAADa360M=",0)</f>
        <v>0</v>
      </c>
      <c r="BQ33" t="b">
        <f>AND(ConsolidatedEventList!A406,"AAAAADa360Q=")</f>
        <v>0</v>
      </c>
      <c r="BR33" t="b">
        <f>AND(ConsolidatedEventList!B406,"AAAAADa360U=")</f>
        <v>1</v>
      </c>
      <c r="BS33" t="e">
        <f>AND(ConsolidatedEventList!C406,"AAAAADa360Y=")</f>
        <v>#VALUE!</v>
      </c>
      <c r="BT33" t="e">
        <f>AND(ConsolidatedEventList!D406,"AAAAADa360c=")</f>
        <v>#VALUE!</v>
      </c>
      <c r="BU33" t="b">
        <f>AND(ConsolidatedEventList!E406,"AAAAADa360g=")</f>
        <v>0</v>
      </c>
      <c r="BV33" t="b">
        <f>AND(ConsolidatedEventList!F406,"AAAAADa360k=")</f>
        <v>0</v>
      </c>
      <c r="BW33" t="b">
        <f>AND(ConsolidatedEventList!G406,"AAAAADa360o=")</f>
        <v>0</v>
      </c>
      <c r="BX33" t="b">
        <f>AND(ConsolidatedEventList!H406,"AAAAADa360s=")</f>
        <v>0</v>
      </c>
      <c r="BY33" t="e">
        <f>AND(ConsolidatedEventList!#REF!,"AAAAADa360w=")</f>
        <v>#REF!</v>
      </c>
      <c r="BZ33">
        <f>IF(ConsolidatedEventList!351:351,"AAAAADa3600=",0)</f>
        <v>0</v>
      </c>
      <c r="CA33" t="b">
        <f>AND(ConsolidatedEventList!A407,"AAAAADa3604=")</f>
        <v>0</v>
      </c>
      <c r="CB33" t="b">
        <f>AND(ConsolidatedEventList!B407,"AAAAADa3608=")</f>
        <v>1</v>
      </c>
      <c r="CC33" t="e">
        <f>AND(ConsolidatedEventList!C407,"AAAAADa361A=")</f>
        <v>#VALUE!</v>
      </c>
      <c r="CD33" t="e">
        <f>AND(ConsolidatedEventList!D407,"AAAAADa361E=")</f>
        <v>#VALUE!</v>
      </c>
      <c r="CE33" t="b">
        <f>AND(ConsolidatedEventList!E407,"AAAAADa361I=")</f>
        <v>0</v>
      </c>
      <c r="CF33" t="b">
        <f>AND(ConsolidatedEventList!F407,"AAAAADa361M=")</f>
        <v>0</v>
      </c>
      <c r="CG33" t="b">
        <f>AND(ConsolidatedEventList!G407,"AAAAADa361Q=")</f>
        <v>0</v>
      </c>
      <c r="CH33" t="b">
        <f>AND(ConsolidatedEventList!H407,"AAAAADa361U=")</f>
        <v>0</v>
      </c>
      <c r="CI33" t="e">
        <f>AND(ConsolidatedEventList!#REF!,"AAAAADa361Y=")</f>
        <v>#REF!</v>
      </c>
      <c r="CJ33">
        <f>IF(ConsolidatedEventList!352:352,"AAAAADa361c=",0)</f>
        <v>0</v>
      </c>
      <c r="CK33" t="b">
        <f>AND(ConsolidatedEventList!A408,"AAAAADa361g=")</f>
        <v>0</v>
      </c>
      <c r="CL33" t="b">
        <f>AND(ConsolidatedEventList!B408,"AAAAADa361k=")</f>
        <v>1</v>
      </c>
      <c r="CM33" t="e">
        <f>AND(ConsolidatedEventList!C408,"AAAAADa361o=")</f>
        <v>#VALUE!</v>
      </c>
      <c r="CN33" t="e">
        <f>AND(ConsolidatedEventList!D408,"AAAAADa361s=")</f>
        <v>#VALUE!</v>
      </c>
      <c r="CO33" t="b">
        <f>AND(ConsolidatedEventList!E408,"AAAAADa361w=")</f>
        <v>0</v>
      </c>
      <c r="CP33" t="b">
        <f>AND(ConsolidatedEventList!F408,"AAAAADa3610=")</f>
        <v>0</v>
      </c>
      <c r="CQ33" t="b">
        <f>AND(ConsolidatedEventList!G408,"AAAAADa3614=")</f>
        <v>0</v>
      </c>
      <c r="CR33" t="b">
        <f>AND(ConsolidatedEventList!H408,"AAAAADa3618=")</f>
        <v>0</v>
      </c>
      <c r="CS33" t="e">
        <f>AND(ConsolidatedEventList!#REF!,"AAAAADa362A=")</f>
        <v>#REF!</v>
      </c>
      <c r="CT33">
        <f>IF(ConsolidatedEventList!353:353,"AAAAADa362E=",0)</f>
        <v>0</v>
      </c>
      <c r="CU33" t="b">
        <f>AND(ConsolidatedEventList!A409,"AAAAADa362I=")</f>
        <v>0</v>
      </c>
      <c r="CV33" t="b">
        <f>AND(ConsolidatedEventList!B409,"AAAAADa362M=")</f>
        <v>1</v>
      </c>
      <c r="CW33" t="e">
        <f>AND(ConsolidatedEventList!C409,"AAAAADa362Q=")</f>
        <v>#VALUE!</v>
      </c>
      <c r="CX33" t="e">
        <f>AND(ConsolidatedEventList!D409,"AAAAADa362U=")</f>
        <v>#VALUE!</v>
      </c>
      <c r="CY33" t="b">
        <f>AND(ConsolidatedEventList!E409,"AAAAADa362Y=")</f>
        <v>0</v>
      </c>
      <c r="CZ33" t="b">
        <f>AND(ConsolidatedEventList!F409,"AAAAADa362c=")</f>
        <v>0</v>
      </c>
      <c r="DA33" t="b">
        <f>AND(ConsolidatedEventList!G409,"AAAAADa362g=")</f>
        <v>0</v>
      </c>
      <c r="DB33" t="b">
        <f>AND(ConsolidatedEventList!H409,"AAAAADa362k=")</f>
        <v>0</v>
      </c>
      <c r="DC33" t="e">
        <f>AND(ConsolidatedEventList!#REF!,"AAAAADa362o=")</f>
        <v>#REF!</v>
      </c>
      <c r="DD33">
        <f>IF(ConsolidatedEventList!354:354,"AAAAADa362s=",0)</f>
        <v>0</v>
      </c>
      <c r="DE33" t="b">
        <f>AND(ConsolidatedEventList!A410,"AAAAADa362w=")</f>
        <v>0</v>
      </c>
      <c r="DF33" t="b">
        <f>AND(ConsolidatedEventList!B410,"AAAAADa3620=")</f>
        <v>1</v>
      </c>
      <c r="DG33" t="e">
        <f>AND(ConsolidatedEventList!C410,"AAAAADa3624=")</f>
        <v>#VALUE!</v>
      </c>
      <c r="DH33" t="e">
        <f>AND(ConsolidatedEventList!D410,"AAAAADa3628=")</f>
        <v>#VALUE!</v>
      </c>
      <c r="DI33" t="b">
        <f>AND(ConsolidatedEventList!E410,"AAAAADa363A=")</f>
        <v>0</v>
      </c>
      <c r="DJ33" t="b">
        <f>AND(ConsolidatedEventList!F410,"AAAAADa363E=")</f>
        <v>0</v>
      </c>
      <c r="DK33" t="b">
        <f>AND(ConsolidatedEventList!G410,"AAAAADa363I=")</f>
        <v>0</v>
      </c>
      <c r="DL33" t="b">
        <f>AND(ConsolidatedEventList!H410,"AAAAADa363M=")</f>
        <v>0</v>
      </c>
      <c r="DM33" t="e">
        <f>AND(ConsolidatedEventList!#REF!,"AAAAADa363Q=")</f>
        <v>#REF!</v>
      </c>
      <c r="DN33">
        <f>IF(ConsolidatedEventList!355:355,"AAAAADa363U=",0)</f>
        <v>0</v>
      </c>
      <c r="DO33" t="b">
        <f>AND(ConsolidatedEventList!A411,"AAAAADa363Y=")</f>
        <v>0</v>
      </c>
      <c r="DP33" t="b">
        <f>AND(ConsolidatedEventList!B411,"AAAAADa363c=")</f>
        <v>1</v>
      </c>
      <c r="DQ33" t="e">
        <f>AND(ConsolidatedEventList!C411,"AAAAADa363g=")</f>
        <v>#VALUE!</v>
      </c>
      <c r="DR33" t="e">
        <f>AND(ConsolidatedEventList!D411,"AAAAADa363k=")</f>
        <v>#VALUE!</v>
      </c>
      <c r="DS33" t="b">
        <f>AND(ConsolidatedEventList!E411,"AAAAADa363o=")</f>
        <v>0</v>
      </c>
      <c r="DT33" t="b">
        <f>AND(ConsolidatedEventList!F411,"AAAAADa363s=")</f>
        <v>0</v>
      </c>
      <c r="DU33" t="b">
        <f>AND(ConsolidatedEventList!G411,"AAAAADa363w=")</f>
        <v>0</v>
      </c>
      <c r="DV33" t="b">
        <f>AND(ConsolidatedEventList!H411,"AAAAADa3630=")</f>
        <v>0</v>
      </c>
      <c r="DW33" t="e">
        <f>AND(ConsolidatedEventList!#REF!,"AAAAADa3634=")</f>
        <v>#REF!</v>
      </c>
      <c r="DX33" t="e">
        <f>IF(ConsolidatedEventList!#REF!,"AAAAADa3638=",0)</f>
        <v>#REF!</v>
      </c>
      <c r="DY33" t="e">
        <f>AND(ConsolidatedEventList!#REF!,"AAAAADa364A=")</f>
        <v>#REF!</v>
      </c>
      <c r="DZ33" t="e">
        <f>AND(ConsolidatedEventList!#REF!,"AAAAADa364E=")</f>
        <v>#REF!</v>
      </c>
      <c r="EA33" t="e">
        <f>AND(ConsolidatedEventList!#REF!,"AAAAADa364I=")</f>
        <v>#REF!</v>
      </c>
      <c r="EB33" t="e">
        <f>AND(ConsolidatedEventList!#REF!,"AAAAADa364M=")</f>
        <v>#REF!</v>
      </c>
      <c r="EC33" t="e">
        <f>AND(ConsolidatedEventList!#REF!,"AAAAADa364Q=")</f>
        <v>#REF!</v>
      </c>
      <c r="ED33" t="e">
        <f>AND(ConsolidatedEventList!#REF!,"AAAAADa364U=")</f>
        <v>#REF!</v>
      </c>
      <c r="EE33" t="e">
        <f>AND(ConsolidatedEventList!#REF!,"AAAAADa364Y=")</f>
        <v>#REF!</v>
      </c>
      <c r="EF33" t="e">
        <f>AND(ConsolidatedEventList!#REF!,"AAAAADa364c=")</f>
        <v>#REF!</v>
      </c>
      <c r="EG33" t="e">
        <f>AND(ConsolidatedEventList!#REF!,"AAAAADa364g=")</f>
        <v>#REF!</v>
      </c>
      <c r="EH33" t="e">
        <f>IF(ConsolidatedEventList!#REF!,"AAAAADa364k=",0)</f>
        <v>#REF!</v>
      </c>
      <c r="EI33" t="e">
        <f>AND(ConsolidatedEventList!#REF!,"AAAAADa364o=")</f>
        <v>#REF!</v>
      </c>
      <c r="EJ33" t="e">
        <f>AND(ConsolidatedEventList!#REF!,"AAAAADa364s=")</f>
        <v>#REF!</v>
      </c>
      <c r="EK33" t="e">
        <f>AND(ConsolidatedEventList!#REF!,"AAAAADa364w=")</f>
        <v>#REF!</v>
      </c>
      <c r="EL33" t="e">
        <f>AND(ConsolidatedEventList!#REF!,"AAAAADa3640=")</f>
        <v>#REF!</v>
      </c>
      <c r="EM33" t="e">
        <f>AND(ConsolidatedEventList!#REF!,"AAAAADa3644=")</f>
        <v>#REF!</v>
      </c>
      <c r="EN33" t="e">
        <f>AND(ConsolidatedEventList!#REF!,"AAAAADa3648=")</f>
        <v>#REF!</v>
      </c>
      <c r="EO33" t="e">
        <f>AND(ConsolidatedEventList!#REF!,"AAAAADa365A=")</f>
        <v>#REF!</v>
      </c>
      <c r="EP33" t="e">
        <f>AND(ConsolidatedEventList!#REF!,"AAAAADa365E=")</f>
        <v>#REF!</v>
      </c>
      <c r="EQ33" t="e">
        <f>AND(ConsolidatedEventList!#REF!,"AAAAADa365I=")</f>
        <v>#REF!</v>
      </c>
      <c r="ER33">
        <f>IF(ConsolidatedEventList!356:356,"AAAAADa365M=",0)</f>
        <v>0</v>
      </c>
      <c r="ES33" t="e">
        <f>AND(ConsolidatedEventList!#REF!,"AAAAADa365Q=")</f>
        <v>#REF!</v>
      </c>
      <c r="ET33" t="e">
        <f>AND(ConsolidatedEventList!#REF!,"AAAAADa365U=")</f>
        <v>#REF!</v>
      </c>
      <c r="EU33" t="e">
        <f>AND(ConsolidatedEventList!#REF!,"AAAAADa365Y=")</f>
        <v>#REF!</v>
      </c>
      <c r="EV33" t="e">
        <f>AND(ConsolidatedEventList!#REF!,"AAAAADa365c=")</f>
        <v>#REF!</v>
      </c>
      <c r="EW33" t="e">
        <f>AND(ConsolidatedEventList!#REF!,"AAAAADa365g=")</f>
        <v>#REF!</v>
      </c>
      <c r="EX33" t="e">
        <f>AND(ConsolidatedEventList!#REF!,"AAAAADa365k=")</f>
        <v>#REF!</v>
      </c>
      <c r="EY33" t="e">
        <f>AND(ConsolidatedEventList!#REF!,"AAAAADa365o=")</f>
        <v>#REF!</v>
      </c>
      <c r="EZ33" t="e">
        <f>AND(ConsolidatedEventList!#REF!,"AAAAADa365s=")</f>
        <v>#REF!</v>
      </c>
      <c r="FA33" t="e">
        <f>AND(ConsolidatedEventList!#REF!,"AAAAADa365w=")</f>
        <v>#REF!</v>
      </c>
      <c r="FB33">
        <f>IF(ConsolidatedEventList!357:357,"AAAAADa3650=",0)</f>
        <v>0</v>
      </c>
      <c r="FC33" t="e">
        <f>AND(ConsolidatedEventList!#REF!,"AAAAADa3654=")</f>
        <v>#REF!</v>
      </c>
      <c r="FD33" t="e">
        <f>AND(ConsolidatedEventList!#REF!,"AAAAADa3658=")</f>
        <v>#REF!</v>
      </c>
      <c r="FE33" t="e">
        <f>AND(ConsolidatedEventList!#REF!,"AAAAADa366A=")</f>
        <v>#REF!</v>
      </c>
      <c r="FF33" t="e">
        <f>AND(ConsolidatedEventList!#REF!,"AAAAADa366E=")</f>
        <v>#REF!</v>
      </c>
      <c r="FG33" t="e">
        <f>AND(ConsolidatedEventList!#REF!,"AAAAADa366I=")</f>
        <v>#REF!</v>
      </c>
      <c r="FH33" t="e">
        <f>AND(ConsolidatedEventList!#REF!,"AAAAADa366M=")</f>
        <v>#REF!</v>
      </c>
      <c r="FI33" t="e">
        <f>AND(ConsolidatedEventList!#REF!,"AAAAADa366Q=")</f>
        <v>#REF!</v>
      </c>
      <c r="FJ33" t="e">
        <f>AND(ConsolidatedEventList!#REF!,"AAAAADa366U=")</f>
        <v>#REF!</v>
      </c>
      <c r="FK33" t="e">
        <f>AND(ConsolidatedEventList!#REF!,"AAAAADa366Y=")</f>
        <v>#REF!</v>
      </c>
      <c r="FL33">
        <f>IF(ConsolidatedEventList!358:358,"AAAAADa366c=",0)</f>
        <v>0</v>
      </c>
      <c r="FM33" t="e">
        <f>AND(ConsolidatedEventList!#REF!,"AAAAADa366g=")</f>
        <v>#REF!</v>
      </c>
      <c r="FN33" t="e">
        <f>AND(ConsolidatedEventList!#REF!,"AAAAADa366k=")</f>
        <v>#REF!</v>
      </c>
      <c r="FO33" t="e">
        <f>AND(ConsolidatedEventList!#REF!,"AAAAADa366o=")</f>
        <v>#REF!</v>
      </c>
      <c r="FP33" t="e">
        <f>AND(ConsolidatedEventList!#REF!,"AAAAADa366s=")</f>
        <v>#REF!</v>
      </c>
      <c r="FQ33" t="e">
        <f>AND(ConsolidatedEventList!#REF!,"AAAAADa366w=")</f>
        <v>#REF!</v>
      </c>
      <c r="FR33" t="e">
        <f>AND(ConsolidatedEventList!#REF!,"AAAAADa3660=")</f>
        <v>#REF!</v>
      </c>
      <c r="FS33" t="e">
        <f>AND(ConsolidatedEventList!#REF!,"AAAAADa3664=")</f>
        <v>#REF!</v>
      </c>
      <c r="FT33" t="e">
        <f>AND(ConsolidatedEventList!#REF!,"AAAAADa3668=")</f>
        <v>#REF!</v>
      </c>
      <c r="FU33" t="e">
        <f>AND(ConsolidatedEventList!#REF!,"AAAAADa367A=")</f>
        <v>#REF!</v>
      </c>
      <c r="FV33">
        <f>IF(ConsolidatedEventList!359:359,"AAAAADa367E=",0)</f>
        <v>0</v>
      </c>
      <c r="FW33" t="e">
        <f>AND(ConsolidatedEventList!#REF!,"AAAAADa367I=")</f>
        <v>#REF!</v>
      </c>
      <c r="FX33" t="e">
        <f>AND(ConsolidatedEventList!#REF!,"AAAAADa367M=")</f>
        <v>#REF!</v>
      </c>
      <c r="FY33" t="e">
        <f>AND(ConsolidatedEventList!#REF!,"AAAAADa367Q=")</f>
        <v>#REF!</v>
      </c>
      <c r="FZ33" t="e">
        <f>AND(ConsolidatedEventList!#REF!,"AAAAADa367U=")</f>
        <v>#REF!</v>
      </c>
      <c r="GA33" t="e">
        <f>AND(ConsolidatedEventList!#REF!,"AAAAADa367Y=")</f>
        <v>#REF!</v>
      </c>
      <c r="GB33" t="e">
        <f>AND(ConsolidatedEventList!#REF!,"AAAAADa367c=")</f>
        <v>#REF!</v>
      </c>
      <c r="GC33" t="e">
        <f>AND(ConsolidatedEventList!#REF!,"AAAAADa367g=")</f>
        <v>#REF!</v>
      </c>
      <c r="GD33" t="e">
        <f>AND(ConsolidatedEventList!#REF!,"AAAAADa367k=")</f>
        <v>#REF!</v>
      </c>
      <c r="GE33" t="e">
        <f>AND(ConsolidatedEventList!#REF!,"AAAAADa367o=")</f>
        <v>#REF!</v>
      </c>
      <c r="GF33">
        <f>IF(ConsolidatedEventList!360:360,"AAAAADa367s=",0)</f>
        <v>0</v>
      </c>
      <c r="GG33" t="e">
        <f>AND(ConsolidatedEventList!#REF!,"AAAAADa367w=")</f>
        <v>#REF!</v>
      </c>
      <c r="GH33" t="e">
        <f>AND(ConsolidatedEventList!#REF!,"AAAAADa3670=")</f>
        <v>#REF!</v>
      </c>
      <c r="GI33" t="e">
        <f>AND(ConsolidatedEventList!#REF!,"AAAAADa3674=")</f>
        <v>#REF!</v>
      </c>
      <c r="GJ33" t="e">
        <f>AND(ConsolidatedEventList!#REF!,"AAAAADa3678=")</f>
        <v>#REF!</v>
      </c>
      <c r="GK33" t="e">
        <f>AND(ConsolidatedEventList!#REF!,"AAAAADa368A=")</f>
        <v>#REF!</v>
      </c>
      <c r="GL33" t="e">
        <f>AND(ConsolidatedEventList!#REF!,"AAAAADa368E=")</f>
        <v>#REF!</v>
      </c>
      <c r="GM33" t="e">
        <f>AND(ConsolidatedEventList!#REF!,"AAAAADa368I=")</f>
        <v>#REF!</v>
      </c>
      <c r="GN33" t="e">
        <f>AND(ConsolidatedEventList!#REF!,"AAAAADa368M=")</f>
        <v>#REF!</v>
      </c>
      <c r="GO33" t="e">
        <f>AND(ConsolidatedEventList!#REF!,"AAAAADa368Q=")</f>
        <v>#REF!</v>
      </c>
      <c r="GP33">
        <f>IF(ConsolidatedEventList!361:361,"AAAAADa368U=",0)</f>
        <v>0</v>
      </c>
      <c r="GQ33" t="e">
        <f>AND(ConsolidatedEventList!#REF!,"AAAAADa368Y=")</f>
        <v>#REF!</v>
      </c>
      <c r="GR33" t="e">
        <f>AND(ConsolidatedEventList!#REF!,"AAAAADa368c=")</f>
        <v>#REF!</v>
      </c>
      <c r="GS33" t="e">
        <f>AND(ConsolidatedEventList!#REF!,"AAAAADa368g=")</f>
        <v>#REF!</v>
      </c>
      <c r="GT33" t="e">
        <f>AND(ConsolidatedEventList!#REF!,"AAAAADa368k=")</f>
        <v>#REF!</v>
      </c>
      <c r="GU33" t="e">
        <f>AND(ConsolidatedEventList!#REF!,"AAAAADa368o=")</f>
        <v>#REF!</v>
      </c>
      <c r="GV33" t="e">
        <f>AND(ConsolidatedEventList!#REF!,"AAAAADa368s=")</f>
        <v>#REF!</v>
      </c>
      <c r="GW33" t="e">
        <f>AND(ConsolidatedEventList!#REF!,"AAAAADa368w=")</f>
        <v>#REF!</v>
      </c>
      <c r="GX33" t="e">
        <f>AND(ConsolidatedEventList!#REF!,"AAAAADa3680=")</f>
        <v>#REF!</v>
      </c>
      <c r="GY33" t="e">
        <f>AND(ConsolidatedEventList!#REF!,"AAAAADa3684=")</f>
        <v>#REF!</v>
      </c>
      <c r="GZ33">
        <f>IF(ConsolidatedEventList!362:362,"AAAAADa3688=",0)</f>
        <v>0</v>
      </c>
      <c r="HA33" t="e">
        <f>AND(ConsolidatedEventList!#REF!,"AAAAADa369A=")</f>
        <v>#REF!</v>
      </c>
      <c r="HB33" t="e">
        <f>AND(ConsolidatedEventList!#REF!,"AAAAADa369E=")</f>
        <v>#REF!</v>
      </c>
      <c r="HC33" t="e">
        <f>AND(ConsolidatedEventList!#REF!,"AAAAADa369I=")</f>
        <v>#REF!</v>
      </c>
      <c r="HD33" t="e">
        <f>AND(ConsolidatedEventList!#REF!,"AAAAADa369M=")</f>
        <v>#REF!</v>
      </c>
      <c r="HE33" t="e">
        <f>AND(ConsolidatedEventList!#REF!,"AAAAADa369Q=")</f>
        <v>#REF!</v>
      </c>
      <c r="HF33" t="e">
        <f>AND(ConsolidatedEventList!#REF!,"AAAAADa369U=")</f>
        <v>#REF!</v>
      </c>
      <c r="HG33" t="e">
        <f>AND(ConsolidatedEventList!#REF!,"AAAAADa369Y=")</f>
        <v>#REF!</v>
      </c>
      <c r="HH33" t="e">
        <f>AND(ConsolidatedEventList!#REF!,"AAAAADa369c=")</f>
        <v>#REF!</v>
      </c>
      <c r="HI33" t="e">
        <f>AND(ConsolidatedEventList!#REF!,"AAAAADa369g=")</f>
        <v>#REF!</v>
      </c>
      <c r="HJ33">
        <f>IF(ConsolidatedEventList!363:363,"AAAAADa369k=",0)</f>
        <v>0</v>
      </c>
      <c r="HK33" t="e">
        <f>AND(ConsolidatedEventList!#REF!,"AAAAADa369o=")</f>
        <v>#REF!</v>
      </c>
      <c r="HL33" t="e">
        <f>AND(ConsolidatedEventList!#REF!,"AAAAADa369s=")</f>
        <v>#REF!</v>
      </c>
      <c r="HM33" t="e">
        <f>AND(ConsolidatedEventList!#REF!,"AAAAADa369w=")</f>
        <v>#REF!</v>
      </c>
      <c r="HN33" t="e">
        <f>AND(ConsolidatedEventList!#REF!,"AAAAADa3690=")</f>
        <v>#REF!</v>
      </c>
      <c r="HO33" t="e">
        <f>AND(ConsolidatedEventList!#REF!,"AAAAADa3694=")</f>
        <v>#REF!</v>
      </c>
      <c r="HP33" t="e">
        <f>AND(ConsolidatedEventList!#REF!,"AAAAADa3698=")</f>
        <v>#REF!</v>
      </c>
      <c r="HQ33" t="e">
        <f>AND(ConsolidatedEventList!#REF!,"AAAAADa36+A=")</f>
        <v>#REF!</v>
      </c>
      <c r="HR33" t="e">
        <f>AND(ConsolidatedEventList!#REF!,"AAAAADa36+E=")</f>
        <v>#REF!</v>
      </c>
      <c r="HS33" t="e">
        <f>AND(ConsolidatedEventList!#REF!,"AAAAADa36+I=")</f>
        <v>#REF!</v>
      </c>
      <c r="HT33">
        <f>IF(ConsolidatedEventList!A:A,"AAAAADa36+M=",0)</f>
        <v>0</v>
      </c>
      <c r="HU33" t="str">
        <f>IF(ConsolidatedEventList!B:B,"AAAAADa36+Q=",0)</f>
        <v>AAAAADa36+Q=</v>
      </c>
      <c r="HV33" t="e">
        <f>IF(ConsolidatedEventList!C:C,"AAAAADa36+U=",0)</f>
        <v>#VALUE!</v>
      </c>
      <c r="HW33" t="e">
        <f>IF(ConsolidatedEventList!D:D,"AAAAADa36+Y=",0)</f>
        <v>#VALUE!</v>
      </c>
      <c r="HX33">
        <f>IF(ConsolidatedEventList!E:E,"AAAAADa36+c=",0)</f>
        <v>0</v>
      </c>
      <c r="HY33">
        <f>IF(ConsolidatedEventList!F:F,"AAAAADa36+g=",0)</f>
        <v>0</v>
      </c>
      <c r="HZ33">
        <f>IF(ConsolidatedEventList!G:G,"AAAAADa36+k=",0)</f>
        <v>0</v>
      </c>
      <c r="IA33">
        <f>IF(ConsolidatedEventList!H:H,"AAAAADa36+o=",0)</f>
        <v>0</v>
      </c>
      <c r="IB33" t="e">
        <f>IF(ConsolidatedEventList!#REF!,"AAAAADa36+s=",0)</f>
        <v>#REF!</v>
      </c>
      <c r="IC33" t="s">
        <v>83</v>
      </c>
      <c r="ID33" s="23" t="s">
        <v>84</v>
      </c>
      <c r="IE33" s="24" t="s">
        <v>85</v>
      </c>
      <c r="IF33" s="25" t="s">
        <v>86</v>
      </c>
      <c r="IG33" t="e">
        <f>IF("N",AgeGroupFemale,"AAAAADa36/A=")</f>
        <v>#VALUE!</v>
      </c>
      <c r="IH33" t="e">
        <f>IF("N",AgeGroupMale,"AAAAADa36/E=")</f>
        <v>#VALUE!</v>
      </c>
      <c r="II33" t="e">
        <f>IF("N",AgeInfo,"AAAAADa36/I=")</f>
        <v>#VALUE!</v>
      </c>
      <c r="IJ33" t="e">
        <f>IF("N",Jumpers,"AAAAADa36/M=")</f>
        <v>#VALUE!</v>
      </c>
      <c r="IK33" t="e">
        <f>IF("N",Competitor!_xlnm.Print_Area,"AAAAADa36/Q=")</f>
        <v>#VALUE!</v>
      </c>
      <c r="IL33" t="e">
        <f>IF("N",Competitor!_xlnm.Print_Titles,"AAAAADa36/U=")</f>
        <v>#VALUE!</v>
      </c>
      <c r="IM33" t="e">
        <f>IF("N",'Female Individual Rope Singles'!_xlnm.Print_Titles,"AAAAADa36/Y=")</f>
        <v>#VALUE!</v>
      </c>
      <c r="IN33" t="e">
        <f>IF("N",'Male Individual Rope Singles'!_xlnm.Print_Titles,"AAAAADa36/c=")</f>
        <v>#VALUE!</v>
      </c>
    </row>
    <row r="34" spans="1:248" x14ac:dyDescent="0.25">
      <c r="A34" t="e">
        <f>AND('Female Individual Rope Singles'!#REF!,"AAAAACtf3wA=")</f>
        <v>#REF!</v>
      </c>
      <c r="B34" t="e">
        <f>AND('Female Individual Rope Singles'!#REF!,"AAAAACtf3wE=")</f>
        <v>#REF!</v>
      </c>
      <c r="C34" t="e">
        <f>AND('Female Individual Rope Singles'!#REF!,"AAAAACtf3wI=")</f>
        <v>#REF!</v>
      </c>
      <c r="D34" t="e">
        <f>AND('Female Individual Rope Singles'!#REF!,"AAAAACtf3wM=")</f>
        <v>#REF!</v>
      </c>
      <c r="E34" t="e">
        <f>AND('Female Individual Rope Singles'!#REF!,"AAAAACtf3wQ=")</f>
        <v>#REF!</v>
      </c>
      <c r="F34" t="e">
        <f>AND('Female Individual Rope Singles'!#REF!,"AAAAACtf3wU=")</f>
        <v>#REF!</v>
      </c>
      <c r="G34" t="e">
        <f>AND('Female Individual Rope Singles'!#REF!,"AAAAACtf3wY=")</f>
        <v>#REF!</v>
      </c>
      <c r="H34" t="e">
        <f>AND('Female Individual Rope Singles'!#REF!,"AAAAACtf3wc=")</f>
        <v>#REF!</v>
      </c>
      <c r="I34" t="e">
        <f>AND('Female Individual Rope Singles'!#REF!,"AAAAACtf3wg=")</f>
        <v>#REF!</v>
      </c>
      <c r="J34" t="e">
        <f>AND('Female Individual Rope Singles'!#REF!,"AAAAACtf3wk=")</f>
        <v>#REF!</v>
      </c>
      <c r="K34" t="e">
        <f>AND('Female Individual Rope Singles'!#REF!,"AAAAACtf3wo=")</f>
        <v>#REF!</v>
      </c>
      <c r="L34" t="e">
        <f>AND('Female Individual Rope Singles'!#REF!,"AAAAACtf3ws=")</f>
        <v>#REF!</v>
      </c>
      <c r="M34" t="e">
        <f>AND('Female Individual Rope Singles'!#REF!,"AAAAACtf3ww=")</f>
        <v>#REF!</v>
      </c>
      <c r="N34" t="e">
        <f>AND('Female Individual Rope Singles'!#REF!,"AAAAACtf3w0=")</f>
        <v>#REF!</v>
      </c>
      <c r="O34" t="e">
        <f>AND('Female Individual Rope Singles'!#REF!,"AAAAACtf3w4=")</f>
        <v>#REF!</v>
      </c>
      <c r="P34" t="e">
        <f>AND('Female Individual Rope Singles'!#REF!,"AAAAACtf3w8=")</f>
        <v>#REF!</v>
      </c>
      <c r="Q34" t="e">
        <f>AND('Female Individual Rope Singles'!#REF!,"AAAAACtf3xA=")</f>
        <v>#REF!</v>
      </c>
      <c r="R34" t="e">
        <f>AND('Female Individual Rope Singles'!#REF!,"AAAAACtf3xE=")</f>
        <v>#REF!</v>
      </c>
      <c r="S34" t="e">
        <f>AND('Female Individual Rope Singles'!#REF!,"AAAAACtf3xI=")</f>
        <v>#REF!</v>
      </c>
      <c r="T34" t="e">
        <f>AND('Female Individual Rope Singles'!#REF!,"AAAAACtf3xM=")</f>
        <v>#REF!</v>
      </c>
      <c r="U34" t="e">
        <f>AND('Female Individual Rope Singles'!#REF!,"AAAAACtf3xQ=")</f>
        <v>#REF!</v>
      </c>
      <c r="V34" t="e">
        <f>AND('Female Individual Rope Singles'!#REF!,"AAAAACtf3xU=")</f>
        <v>#REF!</v>
      </c>
      <c r="W34" t="e">
        <f>AND('Female Individual Rope Singles'!#REF!,"AAAAACtf3xY=")</f>
        <v>#REF!</v>
      </c>
      <c r="X34" t="e">
        <f>AND('Female Individual Rope Singles'!#REF!,"AAAAACtf3xc=")</f>
        <v>#REF!</v>
      </c>
      <c r="Y34" t="e">
        <f>AND('Female Individual Rope Singles'!#REF!,"AAAAACtf3xg=")</f>
        <v>#REF!</v>
      </c>
      <c r="Z34" t="e">
        <f>AND('Female Individual Rope Singles'!#REF!,"AAAAACtf3xk=")</f>
        <v>#REF!</v>
      </c>
      <c r="AA34" t="e">
        <f>AND('Female Individual Rope Singles'!A103,"AAAAACtf3xo=")</f>
        <v>#VALUE!</v>
      </c>
      <c r="AB34" t="e">
        <f>AND('Female Individual Rope Singles'!B103,"AAAAACtf3xs=")</f>
        <v>#VALUE!</v>
      </c>
      <c r="AC34" t="e">
        <f>AND('Female Individual Rope Singles'!C103,"AAAAACtf3xw=")</f>
        <v>#VALUE!</v>
      </c>
      <c r="AD34" t="e">
        <f>AND('Female Individual Rope Singles'!D103,"AAAAACtf3x0=")</f>
        <v>#VALUE!</v>
      </c>
      <c r="AE34" t="e">
        <f>AND('Female Individual Rope Singles'!E103,"AAAAACtf3x4=")</f>
        <v>#VALUE!</v>
      </c>
      <c r="AF34" t="e">
        <f>AND('Female Individual Rope Singles'!F103,"AAAAACtf3x8=")</f>
        <v>#VALUE!</v>
      </c>
      <c r="AG34" t="e">
        <f>AND('Female Individual Rope Singles'!G103,"AAAAACtf3yA=")</f>
        <v>#VALUE!</v>
      </c>
      <c r="AH34" t="e">
        <f>AND('Female Individual Rope Singles'!H103,"AAAAACtf3yE=")</f>
        <v>#VALUE!</v>
      </c>
      <c r="AI34" t="e">
        <f>AND('Female Individual Rope Singles'!I103,"AAAAACtf3yI=")</f>
        <v>#VALUE!</v>
      </c>
      <c r="AJ34" t="e">
        <f>AND('Female Individual Rope Singles'!J103,"AAAAACtf3yM=")</f>
        <v>#VALUE!</v>
      </c>
      <c r="AK34" t="e">
        <f>AND('Female Individual Rope Singles'!K103,"AAAAACtf3yQ=")</f>
        <v>#VALUE!</v>
      </c>
      <c r="AL34" t="e">
        <f>AND('Female Individual Rope Singles'!L103,"AAAAACtf3yU=")</f>
        <v>#VALUE!</v>
      </c>
      <c r="AM34" t="e">
        <f>AND('Female Individual Rope Singles'!M103,"AAAAACtf3yY=")</f>
        <v>#VALUE!</v>
      </c>
      <c r="AN34" t="e">
        <f>AND('Female Individual Rope Singles'!A104,"AAAAACtf3yc=")</f>
        <v>#VALUE!</v>
      </c>
      <c r="AO34" t="e">
        <f>AND('Female Individual Rope Singles'!B104,"AAAAACtf3yg=")</f>
        <v>#VALUE!</v>
      </c>
      <c r="AP34" t="e">
        <f>AND('Female Individual Rope Singles'!C104,"AAAAACtf3yk=")</f>
        <v>#VALUE!</v>
      </c>
      <c r="AQ34" t="e">
        <f>AND('Female Individual Rope Singles'!D104,"AAAAACtf3yo=")</f>
        <v>#VALUE!</v>
      </c>
      <c r="AR34" t="e">
        <f>AND('Female Individual Rope Singles'!E104,"AAAAACtf3ys=")</f>
        <v>#VALUE!</v>
      </c>
      <c r="AS34" t="e">
        <f>AND('Female Individual Rope Singles'!F104,"AAAAACtf3yw=")</f>
        <v>#VALUE!</v>
      </c>
      <c r="AT34" t="e">
        <f>AND('Female Individual Rope Singles'!G104,"AAAAACtf3y0=")</f>
        <v>#VALUE!</v>
      </c>
      <c r="AU34" t="e">
        <f>AND('Female Individual Rope Singles'!H104,"AAAAACtf3y4=")</f>
        <v>#VALUE!</v>
      </c>
      <c r="AV34" t="e">
        <f>AND('Female Individual Rope Singles'!I104,"AAAAACtf3y8=")</f>
        <v>#VALUE!</v>
      </c>
      <c r="AW34" t="e">
        <f>AND('Female Individual Rope Singles'!J104,"AAAAACtf3zA=")</f>
        <v>#VALUE!</v>
      </c>
      <c r="AX34" t="e">
        <f>AND('Female Individual Rope Singles'!K104,"AAAAACtf3zE=")</f>
        <v>#VALUE!</v>
      </c>
      <c r="AY34" t="e">
        <f>AND('Female Individual Rope Singles'!L104,"AAAAACtf3zI=")</f>
        <v>#VALUE!</v>
      </c>
      <c r="AZ34" t="e">
        <f>AND('Female Individual Rope Singles'!M104,"AAAAACtf3zM=")</f>
        <v>#VALUE!</v>
      </c>
      <c r="BA34" t="e">
        <f>AND('Female Individual Rope Singles'!A105,"AAAAACtf3zQ=")</f>
        <v>#VALUE!</v>
      </c>
      <c r="BB34" t="e">
        <f>AND('Female Individual Rope Singles'!B105,"AAAAACtf3zU=")</f>
        <v>#VALUE!</v>
      </c>
      <c r="BC34" t="e">
        <f>AND('Female Individual Rope Singles'!C105,"AAAAACtf3zY=")</f>
        <v>#VALUE!</v>
      </c>
      <c r="BD34" t="e">
        <f>AND('Female Individual Rope Singles'!D105,"AAAAACtf3zc=")</f>
        <v>#VALUE!</v>
      </c>
      <c r="BE34" t="e">
        <f>AND('Female Individual Rope Singles'!E105,"AAAAACtf3zg=")</f>
        <v>#VALUE!</v>
      </c>
      <c r="BF34" t="e">
        <f>AND('Female Individual Rope Singles'!F105,"AAAAACtf3zk=")</f>
        <v>#VALUE!</v>
      </c>
      <c r="BG34" t="e">
        <f>AND('Female Individual Rope Singles'!G105,"AAAAACtf3zo=")</f>
        <v>#VALUE!</v>
      </c>
      <c r="BH34" t="e">
        <f>AND('Female Individual Rope Singles'!H105,"AAAAACtf3zs=")</f>
        <v>#VALUE!</v>
      </c>
      <c r="BI34" t="e">
        <f>AND('Female Individual Rope Singles'!I105,"AAAAACtf3zw=")</f>
        <v>#VALUE!</v>
      </c>
      <c r="BJ34" t="e">
        <f>AND('Female Individual Rope Singles'!J105,"AAAAACtf3z0=")</f>
        <v>#VALUE!</v>
      </c>
      <c r="BK34" t="e">
        <f>AND('Female Individual Rope Singles'!K105,"AAAAACtf3z4=")</f>
        <v>#VALUE!</v>
      </c>
      <c r="BL34" t="e">
        <f>AND('Female Individual Rope Singles'!L105,"AAAAACtf3z8=")</f>
        <v>#VALUE!</v>
      </c>
      <c r="BM34" t="e">
        <f>AND('Female Individual Rope Singles'!M105,"AAAAACtf30A=")</f>
        <v>#VALUE!</v>
      </c>
      <c r="BN34" t="e">
        <f>AND('Female Individual Rope Singles'!A106,"AAAAACtf30E=")</f>
        <v>#VALUE!</v>
      </c>
      <c r="BO34" t="e">
        <f>AND('Female Individual Rope Singles'!B106,"AAAAACtf30I=")</f>
        <v>#VALUE!</v>
      </c>
      <c r="BP34" t="e">
        <f>AND('Female Individual Rope Singles'!C106,"AAAAACtf30M=")</f>
        <v>#VALUE!</v>
      </c>
      <c r="BQ34" t="e">
        <f>AND('Female Individual Rope Singles'!D106,"AAAAACtf30Q=")</f>
        <v>#VALUE!</v>
      </c>
      <c r="BR34" t="e">
        <f>AND('Female Individual Rope Singles'!E106,"AAAAACtf30U=")</f>
        <v>#VALUE!</v>
      </c>
      <c r="BS34" t="e">
        <f>AND('Female Individual Rope Singles'!F106,"AAAAACtf30Y=")</f>
        <v>#VALUE!</v>
      </c>
      <c r="BT34" t="e">
        <f>AND('Female Individual Rope Singles'!G106,"AAAAACtf30c=")</f>
        <v>#VALUE!</v>
      </c>
      <c r="BU34" t="e">
        <f>AND('Female Individual Rope Singles'!H106,"AAAAACtf30g=")</f>
        <v>#VALUE!</v>
      </c>
      <c r="BV34" t="e">
        <f>AND('Female Individual Rope Singles'!I106,"AAAAACtf30k=")</f>
        <v>#VALUE!</v>
      </c>
      <c r="BW34" t="e">
        <f>AND('Female Individual Rope Singles'!J106,"AAAAACtf30o=")</f>
        <v>#VALUE!</v>
      </c>
      <c r="BX34" t="e">
        <f>AND('Female Individual Rope Singles'!K106,"AAAAACtf30s=")</f>
        <v>#VALUE!</v>
      </c>
      <c r="BY34" t="e">
        <f>AND('Female Individual Rope Singles'!L106,"AAAAACtf30w=")</f>
        <v>#VALUE!</v>
      </c>
      <c r="BZ34" t="e">
        <f>AND('Female Individual Rope Singles'!M106,"AAAAACtf300=")</f>
        <v>#VALUE!</v>
      </c>
      <c r="CA34" t="e">
        <f>AND('Female Individual Rope Singles'!A107,"AAAAACtf304=")</f>
        <v>#VALUE!</v>
      </c>
      <c r="CB34" t="e">
        <f>AND('Female Individual Rope Singles'!B107,"AAAAACtf308=")</f>
        <v>#VALUE!</v>
      </c>
      <c r="CC34" t="e">
        <f>AND('Female Individual Rope Singles'!C107,"AAAAACtf31A=")</f>
        <v>#VALUE!</v>
      </c>
      <c r="CD34" t="e">
        <f>AND('Female Individual Rope Singles'!D107,"AAAAACtf31E=")</f>
        <v>#VALUE!</v>
      </c>
      <c r="CE34" t="e">
        <f>AND('Female Individual Rope Singles'!E107,"AAAAACtf31I=")</f>
        <v>#VALUE!</v>
      </c>
      <c r="CF34" t="e">
        <f>AND('Female Individual Rope Singles'!F107,"AAAAACtf31M=")</f>
        <v>#VALUE!</v>
      </c>
      <c r="CG34" t="e">
        <f>AND('Female Individual Rope Singles'!G107,"AAAAACtf31Q=")</f>
        <v>#VALUE!</v>
      </c>
      <c r="CH34" t="e">
        <f>AND('Female Individual Rope Singles'!H107,"AAAAACtf31U=")</f>
        <v>#VALUE!</v>
      </c>
      <c r="CI34" t="e">
        <f>AND('Female Individual Rope Singles'!I107,"AAAAACtf31Y=")</f>
        <v>#VALUE!</v>
      </c>
      <c r="CJ34" t="e">
        <f>AND('Female Individual Rope Singles'!J107,"AAAAACtf31c=")</f>
        <v>#VALUE!</v>
      </c>
      <c r="CK34" t="e">
        <f>AND('Female Individual Rope Singles'!K107,"AAAAACtf31g=")</f>
        <v>#VALUE!</v>
      </c>
      <c r="CL34" t="e">
        <f>AND('Female Individual Rope Singles'!L107,"AAAAACtf31k=")</f>
        <v>#VALUE!</v>
      </c>
      <c r="CM34" t="e">
        <f>AND('Female Individual Rope Singles'!M107,"AAAAACtf31o=")</f>
        <v>#VALUE!</v>
      </c>
      <c r="CN34" t="e">
        <f>AND('Female Individual Rope Singles'!A108,"AAAAACtf31s=")</f>
        <v>#VALUE!</v>
      </c>
      <c r="CO34" t="e">
        <f>AND('Female Individual Rope Singles'!B108,"AAAAACtf31w=")</f>
        <v>#VALUE!</v>
      </c>
      <c r="CP34" t="e">
        <f>AND('Female Individual Rope Singles'!C108,"AAAAACtf310=")</f>
        <v>#VALUE!</v>
      </c>
      <c r="CQ34" t="e">
        <f>AND('Female Individual Rope Singles'!D108,"AAAAACtf314=")</f>
        <v>#VALUE!</v>
      </c>
      <c r="CR34" t="e">
        <f>AND('Female Individual Rope Singles'!E108,"AAAAACtf318=")</f>
        <v>#VALUE!</v>
      </c>
      <c r="CS34" t="e">
        <f>AND('Female Individual Rope Singles'!F108,"AAAAACtf32A=")</f>
        <v>#VALUE!</v>
      </c>
      <c r="CT34" t="e">
        <f>AND('Female Individual Rope Singles'!G108,"AAAAACtf32E=")</f>
        <v>#VALUE!</v>
      </c>
      <c r="CU34" t="e">
        <f>AND('Female Individual Rope Singles'!H108,"AAAAACtf32I=")</f>
        <v>#VALUE!</v>
      </c>
      <c r="CV34" t="e">
        <f>AND('Female Individual Rope Singles'!I108,"AAAAACtf32M=")</f>
        <v>#VALUE!</v>
      </c>
      <c r="CW34" t="e">
        <f>AND('Female Individual Rope Singles'!J108,"AAAAACtf32Q=")</f>
        <v>#VALUE!</v>
      </c>
      <c r="CX34" t="e">
        <f>AND('Female Individual Rope Singles'!K108,"AAAAACtf32U=")</f>
        <v>#VALUE!</v>
      </c>
      <c r="CY34" t="e">
        <f>AND('Female Individual Rope Singles'!L108,"AAAAACtf32Y=")</f>
        <v>#VALUE!</v>
      </c>
      <c r="CZ34" t="e">
        <f>AND('Female Individual Rope Singles'!M108,"AAAAACtf32c=")</f>
        <v>#VALUE!</v>
      </c>
    </row>
  </sheetData>
  <pageMargins left="0.7" right="0.7" top="0.75" bottom="0.75" header="0.3" footer="0.3"/>
  <customProperties>
    <customPr name="DVSECTION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0"/>
  <sheetViews>
    <sheetView topLeftCell="A4" workbookViewId="0">
      <selection activeCell="C5" sqref="C5"/>
    </sheetView>
  </sheetViews>
  <sheetFormatPr defaultRowHeight="15" x14ac:dyDescent="0.25"/>
  <cols>
    <col min="1" max="1" width="18" customWidth="1"/>
    <col min="2" max="2" width="22.5703125" customWidth="1"/>
    <col min="3" max="3" width="13.85546875" customWidth="1"/>
    <col min="4" max="4" width="5.7109375" customWidth="1"/>
    <col min="5" max="6" width="4.7109375" customWidth="1"/>
    <col min="7" max="10" width="5.140625" customWidth="1"/>
    <col min="11" max="11" width="4.7109375" customWidth="1"/>
    <col min="12" max="12" width="5" customWidth="1"/>
    <col min="13" max="13" width="5.5703125" customWidth="1"/>
    <col min="14" max="14" width="5.7109375" customWidth="1"/>
    <col min="15" max="15" width="3.7109375" customWidth="1"/>
    <col min="16" max="17" width="4.7109375" customWidth="1"/>
    <col min="18" max="18" width="4.5703125" customWidth="1"/>
    <col min="19" max="20" width="4.28515625" customWidth="1"/>
    <col min="21" max="21" width="4.5703125" customWidth="1"/>
    <col min="22" max="22" width="12.5703125" customWidth="1"/>
  </cols>
  <sheetData>
    <row r="1" spans="1:22" ht="23.25" x14ac:dyDescent="0.35">
      <c r="A1" s="33" t="s">
        <v>38</v>
      </c>
      <c r="N1" s="109" t="s">
        <v>159</v>
      </c>
      <c r="O1" s="109" t="str">
        <f>CONCATENATE("Team: ",'Team Info'!$B$3)</f>
        <v xml:space="preserve">Team: </v>
      </c>
      <c r="P1" s="109" t="str">
        <f>CONCATENATE("Team: ",'Team Info'!$B$3)</f>
        <v xml:space="preserve">Team: </v>
      </c>
      <c r="Q1" s="96"/>
      <c r="R1" s="96"/>
      <c r="S1" s="96"/>
      <c r="T1" s="96"/>
      <c r="U1" s="96"/>
      <c r="V1" s="96"/>
    </row>
    <row r="2" spans="1:22" ht="72" customHeight="1" x14ac:dyDescent="0.25">
      <c r="B2" s="110" t="s">
        <v>158</v>
      </c>
      <c r="C2" s="110"/>
      <c r="D2" s="110"/>
      <c r="E2" s="110"/>
      <c r="F2" s="110"/>
      <c r="G2" s="110"/>
      <c r="H2" s="110"/>
      <c r="I2" s="110"/>
      <c r="J2" s="110"/>
      <c r="K2" s="110"/>
      <c r="L2" s="110"/>
      <c r="M2" s="110"/>
      <c r="N2" s="110"/>
      <c r="O2" s="110"/>
      <c r="P2" s="110"/>
    </row>
    <row r="3" spans="1:22" ht="23.45" customHeight="1" x14ac:dyDescent="0.25">
      <c r="B3" s="112"/>
      <c r="C3" s="112"/>
      <c r="D3" s="112"/>
      <c r="E3" s="112"/>
      <c r="F3" s="112"/>
      <c r="G3" s="112"/>
      <c r="H3" s="112"/>
      <c r="I3" s="112"/>
      <c r="J3" s="112"/>
      <c r="K3" s="112"/>
      <c r="L3" s="112"/>
      <c r="M3" s="112"/>
      <c r="N3" s="112"/>
      <c r="O3" s="112"/>
      <c r="P3" s="112"/>
      <c r="Q3" s="111" t="s">
        <v>157</v>
      </c>
      <c r="R3" s="111"/>
      <c r="S3" s="111"/>
      <c r="T3" s="111"/>
      <c r="U3" s="111"/>
      <c r="V3" s="111"/>
    </row>
    <row r="4" spans="1:22" ht="69" x14ac:dyDescent="0.25">
      <c r="A4" s="85" t="s">
        <v>1</v>
      </c>
      <c r="B4" s="85" t="s">
        <v>2</v>
      </c>
      <c r="C4" s="95" t="str">
        <f ca="1">YEAR(TODAY())&amp;" AAU #"</f>
        <v>2025 AAU #</v>
      </c>
      <c r="D4" s="94" t="s">
        <v>156</v>
      </c>
      <c r="E4" s="91" t="s">
        <v>155</v>
      </c>
      <c r="F4" s="91" t="s">
        <v>154</v>
      </c>
      <c r="G4" s="91" t="s">
        <v>153</v>
      </c>
      <c r="H4" s="91" t="s">
        <v>152</v>
      </c>
      <c r="I4" s="91" t="s">
        <v>151</v>
      </c>
      <c r="J4" s="91" t="s">
        <v>150</v>
      </c>
      <c r="K4" s="93" t="s">
        <v>149</v>
      </c>
      <c r="L4" s="93" t="s">
        <v>148</v>
      </c>
      <c r="M4" s="93" t="s">
        <v>147</v>
      </c>
      <c r="N4" s="91" t="s">
        <v>146</v>
      </c>
      <c r="O4" s="92" t="s">
        <v>145</v>
      </c>
      <c r="P4" s="91" t="s">
        <v>144</v>
      </c>
      <c r="Q4" s="91" t="s">
        <v>143</v>
      </c>
      <c r="R4" s="91" t="s">
        <v>142</v>
      </c>
      <c r="S4" s="91" t="s">
        <v>141</v>
      </c>
      <c r="T4" s="90" t="s">
        <v>140</v>
      </c>
      <c r="U4" s="90" t="s">
        <v>139</v>
      </c>
      <c r="V4" s="89"/>
    </row>
    <row r="5" spans="1:22" x14ac:dyDescent="0.25">
      <c r="A5" s="88" t="s">
        <v>138</v>
      </c>
      <c r="B5" s="88" t="s">
        <v>137</v>
      </c>
      <c r="C5" s="88" t="s">
        <v>136</v>
      </c>
      <c r="D5" s="86">
        <v>1</v>
      </c>
      <c r="E5" s="86" t="s">
        <v>135</v>
      </c>
      <c r="F5" s="86" t="s">
        <v>134</v>
      </c>
      <c r="G5" s="86" t="s">
        <v>135</v>
      </c>
      <c r="H5" s="86" t="s">
        <v>134</v>
      </c>
      <c r="I5" s="86" t="s">
        <v>134</v>
      </c>
      <c r="J5" s="86" t="s">
        <v>134</v>
      </c>
      <c r="K5" s="86" t="s">
        <v>134</v>
      </c>
      <c r="L5" s="86" t="s">
        <v>135</v>
      </c>
      <c r="M5" s="86">
        <v>2</v>
      </c>
      <c r="N5" s="86">
        <v>0</v>
      </c>
      <c r="O5" s="87"/>
      <c r="P5" s="86" t="s">
        <v>135</v>
      </c>
      <c r="Q5" s="86" t="s">
        <v>135</v>
      </c>
      <c r="R5" s="86" t="s">
        <v>135</v>
      </c>
      <c r="S5" s="86" t="s">
        <v>134</v>
      </c>
      <c r="T5" s="86"/>
      <c r="U5" s="85"/>
    </row>
    <row r="6" spans="1:22" x14ac:dyDescent="0.25">
      <c r="A6" s="74"/>
      <c r="B6" s="74"/>
      <c r="C6" s="74"/>
      <c r="D6" s="82"/>
      <c r="E6" s="82"/>
      <c r="F6" s="82"/>
      <c r="G6" s="82"/>
      <c r="H6" s="82"/>
      <c r="I6" s="82"/>
      <c r="J6" s="82"/>
      <c r="K6" s="82"/>
      <c r="L6" s="82"/>
      <c r="M6" s="82"/>
      <c r="N6" s="82"/>
      <c r="O6" s="82"/>
      <c r="P6" s="82"/>
      <c r="Q6" s="82"/>
      <c r="R6" s="82"/>
      <c r="S6" s="82"/>
      <c r="T6" s="82"/>
      <c r="U6" s="74"/>
    </row>
    <row r="7" spans="1:22" x14ac:dyDescent="0.25">
      <c r="A7" s="74"/>
      <c r="B7" s="74"/>
      <c r="C7" s="74"/>
      <c r="D7" s="82"/>
      <c r="E7" s="82"/>
      <c r="F7" s="82"/>
      <c r="G7" s="82"/>
      <c r="H7" s="82"/>
      <c r="I7" s="82"/>
      <c r="J7" s="82"/>
      <c r="K7" s="82"/>
      <c r="L7" s="82"/>
      <c r="M7" s="82"/>
      <c r="N7" s="82"/>
      <c r="O7" s="82"/>
      <c r="P7" s="82"/>
      <c r="Q7" s="82"/>
      <c r="R7" s="82"/>
      <c r="S7" s="82"/>
      <c r="T7" s="82"/>
      <c r="U7" s="74"/>
    </row>
    <row r="8" spans="1:22" x14ac:dyDescent="0.25">
      <c r="A8" s="74"/>
      <c r="B8" s="74"/>
      <c r="C8" s="74"/>
      <c r="D8" s="82"/>
      <c r="E8" s="82"/>
      <c r="F8" s="82"/>
      <c r="G8" s="82"/>
      <c r="H8" s="82"/>
      <c r="I8" s="82"/>
      <c r="J8" s="82"/>
      <c r="K8" s="82"/>
      <c r="L8" s="82"/>
      <c r="M8" s="82"/>
      <c r="N8" s="82"/>
      <c r="O8" s="82"/>
      <c r="P8" s="82"/>
      <c r="Q8" s="82"/>
      <c r="R8" s="82"/>
      <c r="S8" s="82"/>
      <c r="T8" s="82"/>
      <c r="U8" s="74"/>
    </row>
    <row r="9" spans="1:22" x14ac:dyDescent="0.25">
      <c r="A9" s="74"/>
      <c r="B9" s="74"/>
      <c r="C9" s="74"/>
      <c r="D9" s="82"/>
      <c r="E9" s="82"/>
      <c r="F9" s="82"/>
      <c r="G9" s="82"/>
      <c r="H9" s="82"/>
      <c r="I9" s="82"/>
      <c r="J9" s="82"/>
      <c r="K9" s="82"/>
      <c r="L9" s="82"/>
      <c r="M9" s="82"/>
      <c r="N9" s="82"/>
      <c r="O9" s="82"/>
      <c r="P9" s="82"/>
      <c r="Q9" s="82"/>
      <c r="R9" s="82"/>
      <c r="S9" s="82"/>
      <c r="T9" s="82"/>
      <c r="U9" s="74"/>
    </row>
    <row r="10" spans="1:22" x14ac:dyDescent="0.25">
      <c r="A10" s="74"/>
      <c r="B10" s="74"/>
      <c r="C10" s="74"/>
      <c r="D10" s="82"/>
      <c r="E10" s="82"/>
      <c r="F10" s="82"/>
      <c r="G10" s="82"/>
      <c r="H10" s="82"/>
      <c r="I10" s="82"/>
      <c r="J10" s="82"/>
      <c r="K10" s="82"/>
      <c r="L10" s="82"/>
      <c r="M10" s="82"/>
      <c r="N10" s="82"/>
      <c r="O10" s="82"/>
      <c r="P10" s="82"/>
      <c r="Q10" s="82"/>
      <c r="R10" s="82"/>
      <c r="S10" s="82"/>
      <c r="T10" s="82"/>
      <c r="U10" s="74"/>
    </row>
    <row r="11" spans="1:22" x14ac:dyDescent="0.25">
      <c r="A11" s="74"/>
      <c r="B11" s="74"/>
      <c r="C11" s="74"/>
      <c r="D11" s="82"/>
      <c r="E11" s="82"/>
      <c r="F11" s="82"/>
      <c r="G11" s="82"/>
      <c r="H11" s="82"/>
      <c r="I11" s="82"/>
      <c r="J11" s="82"/>
      <c r="K11" s="82"/>
      <c r="L11" s="82"/>
      <c r="M11" s="82"/>
      <c r="N11" s="82"/>
      <c r="O11" s="82"/>
      <c r="P11" s="82"/>
      <c r="Q11" s="82"/>
      <c r="R11" s="82"/>
      <c r="S11" s="82"/>
      <c r="T11" s="82"/>
      <c r="U11" s="74"/>
    </row>
    <row r="12" spans="1:22" x14ac:dyDescent="0.25">
      <c r="A12" s="74"/>
      <c r="B12" s="74"/>
      <c r="C12" s="74"/>
      <c r="D12" s="82"/>
      <c r="E12" s="82"/>
      <c r="F12" s="82"/>
      <c r="G12" s="82"/>
      <c r="H12" s="82"/>
      <c r="I12" s="82"/>
      <c r="J12" s="82"/>
      <c r="K12" s="82"/>
      <c r="L12" s="82"/>
      <c r="M12" s="82"/>
      <c r="N12" s="82"/>
      <c r="O12" s="82"/>
      <c r="P12" s="82"/>
      <c r="Q12" s="82"/>
      <c r="R12" s="82"/>
      <c r="S12" s="82"/>
      <c r="T12" s="82"/>
      <c r="U12" s="74"/>
    </row>
    <row r="13" spans="1:22" x14ac:dyDescent="0.25">
      <c r="A13" s="74"/>
      <c r="B13" s="74"/>
      <c r="C13" s="74"/>
      <c r="D13" s="82"/>
      <c r="E13" s="82"/>
      <c r="F13" s="82"/>
      <c r="G13" s="82"/>
      <c r="H13" s="82"/>
      <c r="I13" s="82"/>
      <c r="J13" s="82"/>
      <c r="K13" s="82"/>
      <c r="L13" s="82"/>
      <c r="M13" s="82"/>
      <c r="N13" s="82"/>
      <c r="O13" s="82"/>
      <c r="P13" s="82"/>
      <c r="Q13" s="82"/>
      <c r="R13" s="82"/>
      <c r="S13" s="82"/>
      <c r="T13" s="82"/>
      <c r="U13" s="74"/>
    </row>
    <row r="14" spans="1:22" x14ac:dyDescent="0.25">
      <c r="A14" s="74"/>
      <c r="B14" s="74"/>
      <c r="C14" s="74"/>
      <c r="D14" s="82"/>
      <c r="E14" s="82"/>
      <c r="F14" s="82"/>
      <c r="G14" s="82"/>
      <c r="H14" s="82"/>
      <c r="I14" s="82"/>
      <c r="J14" s="82"/>
      <c r="K14" s="82"/>
      <c r="L14" s="82"/>
      <c r="M14" s="82"/>
      <c r="N14" s="82"/>
      <c r="O14" s="82"/>
      <c r="P14" s="82"/>
      <c r="Q14" s="82"/>
      <c r="R14" s="82"/>
      <c r="S14" s="82"/>
      <c r="T14" s="82"/>
      <c r="U14" s="74"/>
    </row>
    <row r="15" spans="1:22" x14ac:dyDescent="0.25">
      <c r="A15" s="74"/>
      <c r="B15" s="74"/>
      <c r="C15" s="74"/>
      <c r="D15" s="82"/>
      <c r="E15" s="82"/>
      <c r="F15" s="82"/>
      <c r="G15" s="82"/>
      <c r="H15" s="82"/>
      <c r="I15" s="82"/>
      <c r="J15" s="82"/>
      <c r="K15" s="82"/>
      <c r="L15" s="82"/>
      <c r="M15" s="82"/>
      <c r="N15" s="82"/>
      <c r="O15" s="82"/>
      <c r="P15" s="82"/>
      <c r="Q15" s="82"/>
      <c r="R15" s="82"/>
      <c r="S15" s="82"/>
      <c r="T15" s="82"/>
      <c r="U15" s="74"/>
    </row>
    <row r="16" spans="1:22" x14ac:dyDescent="0.25">
      <c r="A16" s="74"/>
      <c r="B16" s="74"/>
      <c r="C16" s="74"/>
      <c r="D16" s="82"/>
      <c r="E16" s="82"/>
      <c r="F16" s="82"/>
      <c r="G16" s="82"/>
      <c r="H16" s="82"/>
      <c r="I16" s="82"/>
      <c r="J16" s="82"/>
      <c r="K16" s="82"/>
      <c r="L16" s="82"/>
      <c r="M16" s="82"/>
      <c r="N16" s="82"/>
      <c r="O16" s="82"/>
      <c r="P16" s="82"/>
      <c r="Q16" s="82"/>
      <c r="R16" s="82"/>
      <c r="S16" s="82"/>
      <c r="T16" s="82"/>
      <c r="U16" s="74"/>
    </row>
    <row r="17" spans="1:21" x14ac:dyDescent="0.25">
      <c r="A17" s="74"/>
      <c r="B17" s="74"/>
      <c r="C17" s="74"/>
      <c r="D17" s="82"/>
      <c r="E17" s="82"/>
      <c r="F17" s="82"/>
      <c r="G17" s="82"/>
      <c r="H17" s="82"/>
      <c r="I17" s="82"/>
      <c r="J17" s="82"/>
      <c r="K17" s="82"/>
      <c r="L17" s="82"/>
      <c r="M17" s="82"/>
      <c r="N17" s="82"/>
      <c r="O17" s="82"/>
      <c r="P17" s="82"/>
      <c r="Q17" s="82"/>
      <c r="R17" s="82"/>
      <c r="S17" s="82"/>
      <c r="T17" s="82"/>
      <c r="U17" s="74"/>
    </row>
    <row r="18" spans="1:21" x14ac:dyDescent="0.25">
      <c r="A18" s="74"/>
      <c r="B18" s="74"/>
      <c r="C18" s="74"/>
      <c r="D18" s="82"/>
      <c r="E18" s="82"/>
      <c r="F18" s="82"/>
      <c r="G18" s="82"/>
      <c r="H18" s="82"/>
      <c r="I18" s="82"/>
      <c r="J18" s="82"/>
      <c r="K18" s="82"/>
      <c r="L18" s="82"/>
      <c r="M18" s="82"/>
      <c r="N18" s="82"/>
      <c r="O18" s="82"/>
      <c r="P18" s="82"/>
      <c r="Q18" s="82"/>
      <c r="R18" s="82"/>
      <c r="S18" s="82"/>
      <c r="T18" s="82"/>
      <c r="U18" s="74"/>
    </row>
    <row r="19" spans="1:21" x14ac:dyDescent="0.25">
      <c r="A19" s="74"/>
      <c r="B19" s="74"/>
      <c r="C19" s="74"/>
      <c r="D19" s="82"/>
      <c r="E19" s="82"/>
      <c r="F19" s="82"/>
      <c r="G19" s="82"/>
      <c r="H19" s="82"/>
      <c r="I19" s="82"/>
      <c r="J19" s="82"/>
      <c r="K19" s="82"/>
      <c r="L19" s="82"/>
      <c r="M19" s="82"/>
      <c r="N19" s="82"/>
      <c r="O19" s="82"/>
      <c r="P19" s="82"/>
      <c r="Q19" s="82"/>
      <c r="R19" s="82"/>
      <c r="S19" s="82"/>
      <c r="T19" s="82"/>
      <c r="U19" s="74"/>
    </row>
    <row r="20" spans="1:21" x14ac:dyDescent="0.25">
      <c r="A20" s="74"/>
      <c r="B20" s="74"/>
      <c r="C20" s="74"/>
      <c r="D20" s="82"/>
      <c r="E20" s="82"/>
      <c r="F20" s="82"/>
      <c r="G20" s="82"/>
      <c r="H20" s="82"/>
      <c r="I20" s="82"/>
      <c r="J20" s="82"/>
      <c r="K20" s="82"/>
      <c r="L20" s="82"/>
      <c r="M20" s="82"/>
      <c r="N20" s="82"/>
      <c r="O20" s="82"/>
      <c r="P20" s="82"/>
      <c r="Q20" s="82"/>
      <c r="R20" s="82"/>
      <c r="S20" s="82"/>
      <c r="T20" s="82"/>
      <c r="U20" s="74"/>
    </row>
    <row r="21" spans="1:21" x14ac:dyDescent="0.25">
      <c r="A21" s="74"/>
      <c r="B21" s="74"/>
      <c r="C21" s="74"/>
      <c r="D21" s="82"/>
      <c r="E21" s="82"/>
      <c r="F21" s="82"/>
      <c r="G21" s="82"/>
      <c r="H21" s="82"/>
      <c r="I21" s="82"/>
      <c r="J21" s="82"/>
      <c r="K21" s="82"/>
      <c r="L21" s="82"/>
      <c r="M21" s="82"/>
      <c r="N21" s="82"/>
      <c r="O21" s="82"/>
      <c r="P21" s="82"/>
      <c r="Q21" s="82"/>
      <c r="R21" s="82"/>
      <c r="S21" s="82"/>
      <c r="T21" s="82"/>
      <c r="U21" s="74"/>
    </row>
    <row r="22" spans="1:21" x14ac:dyDescent="0.25">
      <c r="A22" s="74"/>
      <c r="B22" s="74"/>
      <c r="C22" s="74"/>
      <c r="D22" s="82"/>
      <c r="E22" s="82"/>
      <c r="F22" s="82"/>
      <c r="G22" s="82"/>
      <c r="H22" s="82"/>
      <c r="I22" s="82"/>
      <c r="J22" s="82"/>
      <c r="K22" s="82"/>
      <c r="L22" s="82"/>
      <c r="M22" s="82"/>
      <c r="N22" s="82"/>
      <c r="O22" s="82"/>
      <c r="P22" s="82"/>
      <c r="Q22" s="82"/>
      <c r="R22" s="82"/>
      <c r="S22" s="82"/>
      <c r="T22" s="82"/>
      <c r="U22" s="74"/>
    </row>
    <row r="23" spans="1:21" x14ac:dyDescent="0.25">
      <c r="A23" s="74"/>
      <c r="B23" s="74"/>
      <c r="C23" s="74"/>
      <c r="D23" s="82"/>
      <c r="E23" s="82"/>
      <c r="F23" s="82"/>
      <c r="G23" s="82"/>
      <c r="H23" s="82"/>
      <c r="I23" s="82"/>
      <c r="J23" s="82"/>
      <c r="K23" s="82"/>
      <c r="L23" s="82"/>
      <c r="M23" s="82"/>
      <c r="N23" s="82"/>
      <c r="O23" s="82"/>
      <c r="P23" s="82"/>
      <c r="Q23" s="82"/>
      <c r="R23" s="82"/>
      <c r="S23" s="82"/>
      <c r="T23" s="82"/>
      <c r="U23" s="74"/>
    </row>
    <row r="24" spans="1:21" x14ac:dyDescent="0.25">
      <c r="A24" s="74"/>
      <c r="B24" s="74"/>
      <c r="C24" s="74"/>
      <c r="D24" s="82"/>
      <c r="E24" s="82"/>
      <c r="F24" s="82"/>
      <c r="G24" s="82"/>
      <c r="H24" s="82"/>
      <c r="I24" s="82"/>
      <c r="J24" s="82"/>
      <c r="K24" s="82"/>
      <c r="L24" s="82"/>
      <c r="M24" s="82"/>
      <c r="N24" s="82"/>
      <c r="O24" s="82"/>
      <c r="P24" s="82"/>
      <c r="Q24" s="82"/>
      <c r="R24" s="82"/>
      <c r="S24" s="82"/>
      <c r="T24" s="82"/>
      <c r="U24" s="74"/>
    </row>
    <row r="25" spans="1:21" x14ac:dyDescent="0.25">
      <c r="A25" s="74"/>
      <c r="B25" s="74"/>
      <c r="C25" s="74"/>
      <c r="D25" s="82"/>
      <c r="E25" s="82"/>
      <c r="F25" s="82"/>
      <c r="G25" s="82"/>
      <c r="H25" s="82"/>
      <c r="I25" s="82"/>
      <c r="J25" s="82"/>
      <c r="K25" s="82"/>
      <c r="L25" s="82"/>
      <c r="M25" s="82"/>
      <c r="N25" s="82"/>
      <c r="O25" s="82"/>
      <c r="P25" s="82"/>
      <c r="Q25" s="82"/>
      <c r="R25" s="82"/>
      <c r="S25" s="82"/>
      <c r="T25" s="82"/>
      <c r="U25" s="74"/>
    </row>
    <row r="26" spans="1:21" x14ac:dyDescent="0.25">
      <c r="A26" s="74"/>
      <c r="B26" s="74"/>
      <c r="C26" s="74"/>
      <c r="D26" s="82"/>
      <c r="E26" s="82"/>
      <c r="F26" s="82"/>
      <c r="G26" s="82"/>
      <c r="H26" s="82"/>
      <c r="I26" s="82"/>
      <c r="J26" s="82"/>
      <c r="K26" s="82"/>
      <c r="L26" s="82"/>
      <c r="M26" s="82"/>
      <c r="N26" s="82"/>
      <c r="O26" s="82"/>
      <c r="P26" s="82"/>
      <c r="Q26" s="82"/>
      <c r="R26" s="82"/>
      <c r="S26" s="82"/>
      <c r="T26" s="82"/>
      <c r="U26" s="74"/>
    </row>
    <row r="27" spans="1:21" x14ac:dyDescent="0.25">
      <c r="A27" s="74"/>
      <c r="B27" s="74"/>
      <c r="C27" s="74"/>
      <c r="D27" s="82"/>
      <c r="E27" s="82"/>
      <c r="F27" s="82"/>
      <c r="G27" s="82"/>
      <c r="H27" s="82"/>
      <c r="I27" s="82"/>
      <c r="J27" s="82"/>
      <c r="K27" s="82"/>
      <c r="L27" s="82"/>
      <c r="M27" s="82"/>
      <c r="N27" s="82"/>
      <c r="O27" s="82"/>
      <c r="P27" s="82"/>
      <c r="Q27" s="82"/>
      <c r="R27" s="82"/>
      <c r="S27" s="82"/>
      <c r="T27" s="82"/>
      <c r="U27" s="74"/>
    </row>
    <row r="28" spans="1:21" x14ac:dyDescent="0.25">
      <c r="A28" s="74"/>
      <c r="B28" s="74"/>
      <c r="C28" s="74"/>
      <c r="D28" s="82"/>
      <c r="E28" s="82"/>
      <c r="F28" s="82"/>
      <c r="G28" s="82"/>
      <c r="H28" s="82"/>
      <c r="I28" s="82"/>
      <c r="J28" s="82"/>
      <c r="K28" s="82"/>
      <c r="L28" s="82"/>
      <c r="M28" s="82"/>
      <c r="N28" s="82"/>
      <c r="O28" s="82"/>
      <c r="P28" s="82"/>
      <c r="Q28" s="82"/>
      <c r="R28" s="82"/>
      <c r="S28" s="82"/>
      <c r="T28" s="82"/>
      <c r="U28" s="74"/>
    </row>
    <row r="29" spans="1:21" x14ac:dyDescent="0.25">
      <c r="A29" s="74"/>
      <c r="B29" s="74"/>
      <c r="C29" s="74"/>
      <c r="D29" s="82"/>
      <c r="E29" s="82"/>
      <c r="F29" s="82"/>
      <c r="G29" s="82"/>
      <c r="H29" s="82"/>
      <c r="I29" s="82"/>
      <c r="J29" s="82"/>
      <c r="K29" s="82"/>
      <c r="L29" s="82"/>
      <c r="M29" s="82"/>
      <c r="N29" s="82"/>
      <c r="O29" s="82"/>
      <c r="P29" s="82"/>
      <c r="Q29" s="82"/>
      <c r="R29" s="82"/>
      <c r="S29" s="82"/>
      <c r="T29" s="82"/>
      <c r="U29" s="74"/>
    </row>
    <row r="30" spans="1:21" x14ac:dyDescent="0.25">
      <c r="A30" s="74"/>
      <c r="B30" s="74"/>
      <c r="C30" s="74"/>
      <c r="D30" s="82"/>
      <c r="E30" s="82"/>
      <c r="F30" s="82"/>
      <c r="G30" s="82"/>
      <c r="H30" s="82"/>
      <c r="I30" s="82"/>
      <c r="J30" s="82"/>
      <c r="K30" s="82"/>
      <c r="L30" s="82"/>
      <c r="M30" s="82"/>
      <c r="N30" s="82"/>
      <c r="O30" s="82"/>
      <c r="P30" s="82"/>
      <c r="Q30" s="82"/>
      <c r="R30" s="82"/>
      <c r="S30" s="82"/>
      <c r="T30" s="82"/>
      <c r="U30" s="74"/>
    </row>
  </sheetData>
  <sheetProtection algorithmName="SHA-512" hashValue="GyIa0krjto7e25xuxVqnlkqZzCRV/dHoOrY7I9iXguq58CTRfIXxXioSTfBAoePUZKp+UaU/mpa58yosO0Hrww==" saltValue="JGhi29SchD635zoSFsVIaw==" spinCount="100000" sheet="1" objects="1" scenarios="1"/>
  <mergeCells count="4">
    <mergeCell ref="N1:P1"/>
    <mergeCell ref="B2:P2"/>
    <mergeCell ref="Q3:V3"/>
    <mergeCell ref="B3:P3"/>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03"/>
  <sheetViews>
    <sheetView workbookViewId="0">
      <pane xSplit="1" ySplit="3" topLeftCell="B4" activePane="bottomRight" state="frozen"/>
      <selection pane="topRight" activeCell="B1" sqref="B1"/>
      <selection pane="bottomLeft" activeCell="A4" sqref="A4"/>
      <selection pane="bottomRight" activeCell="D9" sqref="D9"/>
    </sheetView>
  </sheetViews>
  <sheetFormatPr defaultColWidth="8.85546875" defaultRowHeight="15" x14ac:dyDescent="0.25"/>
  <cols>
    <col min="1" max="1" width="8.28515625" style="2" bestFit="1" customWidth="1"/>
    <col min="2" max="2" width="16.7109375" customWidth="1"/>
    <col min="3" max="3" width="22.85546875" customWidth="1"/>
    <col min="4" max="4" width="13.42578125" style="2" customWidth="1"/>
    <col min="5" max="5" width="6" style="2" customWidth="1"/>
    <col min="6" max="6" width="14.7109375" style="2" customWidth="1"/>
    <col min="7" max="7" width="9.7109375" style="2" customWidth="1"/>
    <col min="8" max="8" width="14.28515625" style="2" customWidth="1"/>
    <col min="9" max="9" width="9.42578125" bestFit="1" customWidth="1"/>
    <col min="13" max="13" width="9.140625" customWidth="1"/>
    <col min="14" max="14" width="10.7109375" hidden="1" customWidth="1"/>
    <col min="15" max="15" width="9.85546875" hidden="1" customWidth="1"/>
    <col min="16" max="16" width="8.85546875" hidden="1" customWidth="1"/>
    <col min="17" max="17" width="9.140625" customWidth="1"/>
  </cols>
  <sheetData>
    <row r="1" spans="1:16" ht="18.75" x14ac:dyDescent="0.3">
      <c r="A1" s="35" t="s">
        <v>39</v>
      </c>
      <c r="I1" s="34" t="str">
        <f>CONCATENATE("Team: ",'Team Info'!$B$3)</f>
        <v xml:space="preserve">Team: </v>
      </c>
    </row>
    <row r="2" spans="1:16" ht="18.75" x14ac:dyDescent="0.3">
      <c r="A2" s="35"/>
      <c r="I2" s="34"/>
    </row>
    <row r="3" spans="1:16" ht="41.25" x14ac:dyDescent="0.25">
      <c r="A3" s="53" t="s">
        <v>7</v>
      </c>
      <c r="B3" s="54" t="s">
        <v>1</v>
      </c>
      <c r="C3" s="54" t="s">
        <v>2</v>
      </c>
      <c r="D3" s="55" t="s">
        <v>92</v>
      </c>
      <c r="E3" s="56" t="s">
        <v>3</v>
      </c>
      <c r="F3" s="55" t="s">
        <v>81</v>
      </c>
      <c r="G3" s="55" t="str">
        <f ca="1">"Age as of "
&amp;TEXT($N$4,"mm/dd/yy")</f>
        <v>Age as of 06/16/25</v>
      </c>
      <c r="H3" s="55" t="s">
        <v>33</v>
      </c>
      <c r="I3" s="57" t="s">
        <v>4</v>
      </c>
      <c r="N3" s="36" t="s">
        <v>36</v>
      </c>
    </row>
    <row r="4" spans="1:16" x14ac:dyDescent="0.25">
      <c r="A4" s="28">
        <v>1</v>
      </c>
      <c r="B4" s="26"/>
      <c r="C4" s="26"/>
      <c r="D4" s="60"/>
      <c r="E4" s="14"/>
      <c r="F4" s="52"/>
      <c r="G4" s="28">
        <f>IF(F4&gt;0,INT(($N$4-F4)/365.25),0)</f>
        <v>0</v>
      </c>
      <c r="H4" s="28" t="str">
        <f t="shared" ref="H4:H35" si="0">IF(F4&gt;0,IF(E4="M",VLOOKUP(G4,AgeGroupMale,2),VLOOKUP(G4,AgeGroupFemale,2)),"")</f>
        <v/>
      </c>
      <c r="I4" s="14"/>
      <c r="N4" s="37">
        <f ca="1">DATE(IF(MONTH(TODAY())&gt;7,YEAR(TODAY())+1,YEAR(TODAY())),6,16)</f>
        <v>45824</v>
      </c>
      <c r="O4" t="s">
        <v>77</v>
      </c>
      <c r="P4" t="s">
        <v>79</v>
      </c>
    </row>
    <row r="5" spans="1:16" x14ac:dyDescent="0.25">
      <c r="A5" s="28">
        <v>2</v>
      </c>
      <c r="B5" s="26"/>
      <c r="C5" s="26"/>
      <c r="D5" s="60"/>
      <c r="E5" s="14"/>
      <c r="F5" s="52"/>
      <c r="G5" s="28">
        <f t="shared" ref="G5:G68" si="1">IF(F5&gt;0,INT(($N$4-F5)/365.25),0)</f>
        <v>0</v>
      </c>
      <c r="H5" s="28" t="str">
        <f t="shared" si="0"/>
        <v/>
      </c>
      <c r="I5" s="14"/>
      <c r="N5" s="37"/>
      <c r="O5" t="s">
        <v>78</v>
      </c>
      <c r="P5" t="s">
        <v>80</v>
      </c>
    </row>
    <row r="6" spans="1:16" x14ac:dyDescent="0.25">
      <c r="A6" s="28">
        <v>3</v>
      </c>
      <c r="B6" s="26"/>
      <c r="C6" s="26"/>
      <c r="D6" s="60"/>
      <c r="E6" s="14"/>
      <c r="F6" s="52"/>
      <c r="G6" s="28">
        <f t="shared" si="1"/>
        <v>0</v>
      </c>
      <c r="H6" s="28" t="str">
        <f t="shared" si="0"/>
        <v/>
      </c>
      <c r="I6" s="14"/>
      <c r="N6" s="38"/>
    </row>
    <row r="7" spans="1:16" x14ac:dyDescent="0.25">
      <c r="A7" s="28">
        <v>4</v>
      </c>
      <c r="B7" s="26"/>
      <c r="C7" s="26"/>
      <c r="D7" s="60"/>
      <c r="E7" s="14"/>
      <c r="F7" s="52"/>
      <c r="G7" s="28">
        <f t="shared" si="1"/>
        <v>0</v>
      </c>
      <c r="H7" s="28" t="str">
        <f t="shared" si="0"/>
        <v/>
      </c>
      <c r="I7" s="14"/>
      <c r="N7" s="38"/>
    </row>
    <row r="8" spans="1:16" x14ac:dyDescent="0.25">
      <c r="A8" s="28">
        <v>5</v>
      </c>
      <c r="B8" s="26"/>
      <c r="C8" s="26"/>
      <c r="D8" s="60"/>
      <c r="E8" s="14"/>
      <c r="F8" s="52"/>
      <c r="G8" s="28">
        <f t="shared" si="1"/>
        <v>0</v>
      </c>
      <c r="H8" s="28" t="str">
        <f t="shared" si="0"/>
        <v/>
      </c>
      <c r="I8" s="14"/>
      <c r="N8" s="38"/>
    </row>
    <row r="9" spans="1:16" x14ac:dyDescent="0.25">
      <c r="A9" s="28">
        <v>6</v>
      </c>
      <c r="B9" s="26"/>
      <c r="C9" s="26"/>
      <c r="D9" s="60"/>
      <c r="E9" s="14"/>
      <c r="F9" s="52"/>
      <c r="G9" s="28">
        <f t="shared" si="1"/>
        <v>0</v>
      </c>
      <c r="H9" s="28" t="str">
        <f t="shared" si="0"/>
        <v/>
      </c>
      <c r="I9" s="14"/>
      <c r="N9" s="38"/>
    </row>
    <row r="10" spans="1:16" x14ac:dyDescent="0.25">
      <c r="A10" s="28">
        <v>7</v>
      </c>
      <c r="B10" s="26"/>
      <c r="C10" s="26"/>
      <c r="D10" s="60"/>
      <c r="E10" s="14"/>
      <c r="F10" s="52"/>
      <c r="G10" s="28">
        <f t="shared" si="1"/>
        <v>0</v>
      </c>
      <c r="H10" s="28" t="str">
        <f t="shared" si="0"/>
        <v/>
      </c>
      <c r="I10" s="14"/>
      <c r="N10" s="38"/>
    </row>
    <row r="11" spans="1:16" x14ac:dyDescent="0.25">
      <c r="A11" s="28">
        <v>8</v>
      </c>
      <c r="B11" s="26"/>
      <c r="C11" s="26"/>
      <c r="D11" s="60"/>
      <c r="E11" s="14"/>
      <c r="F11" s="52"/>
      <c r="G11" s="28">
        <f t="shared" si="1"/>
        <v>0</v>
      </c>
      <c r="H11" s="28" t="str">
        <f t="shared" si="0"/>
        <v/>
      </c>
      <c r="I11" s="14"/>
      <c r="N11" s="38"/>
    </row>
    <row r="12" spans="1:16" x14ac:dyDescent="0.25">
      <c r="A12" s="28">
        <v>9</v>
      </c>
      <c r="B12" s="26"/>
      <c r="C12" s="26"/>
      <c r="D12" s="60"/>
      <c r="E12" s="14"/>
      <c r="F12" s="52"/>
      <c r="G12" s="28">
        <f t="shared" si="1"/>
        <v>0</v>
      </c>
      <c r="H12" s="28" t="str">
        <f t="shared" si="0"/>
        <v/>
      </c>
      <c r="I12" s="14"/>
      <c r="N12" s="38"/>
    </row>
    <row r="13" spans="1:16" x14ac:dyDescent="0.25">
      <c r="A13" s="28">
        <v>10</v>
      </c>
      <c r="B13" s="26"/>
      <c r="C13" s="26"/>
      <c r="D13" s="60"/>
      <c r="E13" s="14"/>
      <c r="F13" s="52"/>
      <c r="G13" s="28">
        <f t="shared" si="1"/>
        <v>0</v>
      </c>
      <c r="H13" s="28" t="str">
        <f t="shared" si="0"/>
        <v/>
      </c>
      <c r="I13" s="14"/>
      <c r="N13" s="38"/>
    </row>
    <row r="14" spans="1:16" x14ac:dyDescent="0.25">
      <c r="A14" s="28">
        <v>11</v>
      </c>
      <c r="B14" s="26"/>
      <c r="C14" s="26"/>
      <c r="D14" s="60"/>
      <c r="E14" s="14"/>
      <c r="F14" s="52"/>
      <c r="G14" s="28">
        <f t="shared" si="1"/>
        <v>0</v>
      </c>
      <c r="H14" s="28" t="str">
        <f t="shared" si="0"/>
        <v/>
      </c>
      <c r="I14" s="14"/>
      <c r="N14" s="38"/>
    </row>
    <row r="15" spans="1:16" x14ac:dyDescent="0.25">
      <c r="A15" s="28">
        <v>12</v>
      </c>
      <c r="B15" s="26"/>
      <c r="C15" s="26"/>
      <c r="D15" s="60"/>
      <c r="E15" s="14"/>
      <c r="F15" s="52"/>
      <c r="G15" s="28">
        <f t="shared" si="1"/>
        <v>0</v>
      </c>
      <c r="H15" s="28" t="str">
        <f t="shared" si="0"/>
        <v/>
      </c>
      <c r="I15" s="14"/>
      <c r="N15" s="38"/>
    </row>
    <row r="16" spans="1:16" x14ac:dyDescent="0.25">
      <c r="A16" s="28">
        <v>13</v>
      </c>
      <c r="B16" s="26"/>
      <c r="C16" s="26"/>
      <c r="D16" s="60"/>
      <c r="E16" s="14"/>
      <c r="F16" s="52"/>
      <c r="G16" s="28">
        <f t="shared" si="1"/>
        <v>0</v>
      </c>
      <c r="H16" s="28" t="str">
        <f t="shared" si="0"/>
        <v/>
      </c>
      <c r="I16" s="14"/>
      <c r="N16" s="38"/>
    </row>
    <row r="17" spans="1:14" x14ac:dyDescent="0.25">
      <c r="A17" s="28">
        <v>14</v>
      </c>
      <c r="B17" s="26"/>
      <c r="C17" s="26"/>
      <c r="D17" s="60"/>
      <c r="E17" s="14"/>
      <c r="F17" s="52"/>
      <c r="G17" s="28">
        <f t="shared" si="1"/>
        <v>0</v>
      </c>
      <c r="H17" s="28" t="str">
        <f t="shared" si="0"/>
        <v/>
      </c>
      <c r="I17" s="14"/>
      <c r="N17" s="38"/>
    </row>
    <row r="18" spans="1:14" x14ac:dyDescent="0.25">
      <c r="A18" s="28">
        <v>15</v>
      </c>
      <c r="B18" s="26"/>
      <c r="C18" s="26"/>
      <c r="D18" s="60"/>
      <c r="E18" s="14"/>
      <c r="F18" s="52"/>
      <c r="G18" s="28">
        <f t="shared" si="1"/>
        <v>0</v>
      </c>
      <c r="H18" s="28" t="str">
        <f t="shared" si="0"/>
        <v/>
      </c>
      <c r="I18" s="14"/>
      <c r="N18" s="38"/>
    </row>
    <row r="19" spans="1:14" x14ac:dyDescent="0.25">
      <c r="A19" s="28">
        <v>16</v>
      </c>
      <c r="B19" s="26"/>
      <c r="C19" s="26"/>
      <c r="D19" s="60"/>
      <c r="E19" s="14"/>
      <c r="F19" s="52"/>
      <c r="G19" s="28">
        <f t="shared" si="1"/>
        <v>0</v>
      </c>
      <c r="H19" s="28" t="str">
        <f t="shared" si="0"/>
        <v/>
      </c>
      <c r="I19" s="14"/>
      <c r="N19" s="38"/>
    </row>
    <row r="20" spans="1:14" x14ac:dyDescent="0.25">
      <c r="A20" s="28">
        <v>17</v>
      </c>
      <c r="B20" s="26"/>
      <c r="C20" s="26"/>
      <c r="D20" s="60"/>
      <c r="E20" s="14"/>
      <c r="F20" s="52"/>
      <c r="G20" s="28">
        <f t="shared" si="1"/>
        <v>0</v>
      </c>
      <c r="H20" s="28" t="str">
        <f t="shared" si="0"/>
        <v/>
      </c>
      <c r="I20" s="14"/>
      <c r="N20" s="38"/>
    </row>
    <row r="21" spans="1:14" x14ac:dyDescent="0.25">
      <c r="A21" s="28">
        <v>18</v>
      </c>
      <c r="B21" s="26"/>
      <c r="C21" s="26"/>
      <c r="D21" s="60"/>
      <c r="E21" s="14"/>
      <c r="F21" s="52"/>
      <c r="G21" s="28">
        <f t="shared" si="1"/>
        <v>0</v>
      </c>
      <c r="H21" s="28" t="str">
        <f t="shared" si="0"/>
        <v/>
      </c>
      <c r="I21" s="14"/>
      <c r="N21" s="38"/>
    </row>
    <row r="22" spans="1:14" x14ac:dyDescent="0.25">
      <c r="A22" s="28">
        <v>19</v>
      </c>
      <c r="B22" s="26"/>
      <c r="C22" s="26"/>
      <c r="D22" s="60"/>
      <c r="E22" s="14"/>
      <c r="F22" s="52"/>
      <c r="G22" s="28">
        <f t="shared" si="1"/>
        <v>0</v>
      </c>
      <c r="H22" s="28" t="str">
        <f t="shared" si="0"/>
        <v/>
      </c>
      <c r="I22" s="14"/>
      <c r="N22" s="38"/>
    </row>
    <row r="23" spans="1:14" x14ac:dyDescent="0.25">
      <c r="A23" s="28">
        <v>20</v>
      </c>
      <c r="B23" s="26"/>
      <c r="C23" s="26"/>
      <c r="D23" s="60"/>
      <c r="E23" s="14"/>
      <c r="F23" s="52"/>
      <c r="G23" s="28">
        <f t="shared" si="1"/>
        <v>0</v>
      </c>
      <c r="H23" s="28" t="str">
        <f t="shared" si="0"/>
        <v/>
      </c>
      <c r="I23" s="14"/>
      <c r="N23" s="38"/>
    </row>
    <row r="24" spans="1:14" x14ac:dyDescent="0.25">
      <c r="A24" s="28">
        <v>21</v>
      </c>
      <c r="B24" s="26"/>
      <c r="C24" s="26"/>
      <c r="D24" s="60"/>
      <c r="E24" s="14"/>
      <c r="F24" s="52"/>
      <c r="G24" s="28">
        <f t="shared" si="1"/>
        <v>0</v>
      </c>
      <c r="H24" s="28" t="str">
        <f t="shared" si="0"/>
        <v/>
      </c>
      <c r="I24" s="14"/>
      <c r="N24" s="38"/>
    </row>
    <row r="25" spans="1:14" x14ac:dyDescent="0.25">
      <c r="A25" s="28">
        <v>22</v>
      </c>
      <c r="B25" s="26"/>
      <c r="C25" s="26"/>
      <c r="D25" s="60"/>
      <c r="E25" s="14"/>
      <c r="F25" s="52"/>
      <c r="G25" s="28">
        <f t="shared" si="1"/>
        <v>0</v>
      </c>
      <c r="H25" s="28" t="str">
        <f t="shared" si="0"/>
        <v/>
      </c>
      <c r="I25" s="14"/>
      <c r="N25" s="38"/>
    </row>
    <row r="26" spans="1:14" x14ac:dyDescent="0.25">
      <c r="A26" s="28">
        <v>23</v>
      </c>
      <c r="B26" s="26"/>
      <c r="C26" s="26"/>
      <c r="D26" s="60"/>
      <c r="E26" s="14"/>
      <c r="F26" s="52"/>
      <c r="G26" s="28">
        <f t="shared" si="1"/>
        <v>0</v>
      </c>
      <c r="H26" s="28" t="str">
        <f t="shared" si="0"/>
        <v/>
      </c>
      <c r="I26" s="14"/>
      <c r="N26" s="38"/>
    </row>
    <row r="27" spans="1:14" x14ac:dyDescent="0.25">
      <c r="A27" s="28">
        <v>24</v>
      </c>
      <c r="B27" s="26"/>
      <c r="C27" s="26"/>
      <c r="D27" s="60"/>
      <c r="E27" s="14"/>
      <c r="F27" s="52"/>
      <c r="G27" s="28">
        <f t="shared" si="1"/>
        <v>0</v>
      </c>
      <c r="H27" s="28" t="str">
        <f t="shared" si="0"/>
        <v/>
      </c>
      <c r="I27" s="14"/>
      <c r="N27" s="38"/>
    </row>
    <row r="28" spans="1:14" x14ac:dyDescent="0.25">
      <c r="A28" s="28">
        <v>25</v>
      </c>
      <c r="B28" s="26"/>
      <c r="C28" s="26"/>
      <c r="D28" s="60"/>
      <c r="E28" s="14"/>
      <c r="F28" s="52"/>
      <c r="G28" s="28">
        <f t="shared" si="1"/>
        <v>0</v>
      </c>
      <c r="H28" s="28" t="str">
        <f t="shared" si="0"/>
        <v/>
      </c>
      <c r="I28" s="14"/>
      <c r="N28" s="38"/>
    </row>
    <row r="29" spans="1:14" x14ac:dyDescent="0.25">
      <c r="A29" s="28">
        <v>26</v>
      </c>
      <c r="B29" s="26"/>
      <c r="C29" s="26"/>
      <c r="D29" s="60"/>
      <c r="E29" s="14"/>
      <c r="F29" s="52"/>
      <c r="G29" s="28">
        <f t="shared" si="1"/>
        <v>0</v>
      </c>
      <c r="H29" s="28" t="str">
        <f t="shared" si="0"/>
        <v/>
      </c>
      <c r="I29" s="14"/>
      <c r="N29" s="38"/>
    </row>
    <row r="30" spans="1:14" x14ac:dyDescent="0.25">
      <c r="A30" s="28">
        <v>27</v>
      </c>
      <c r="B30" s="26"/>
      <c r="C30" s="26"/>
      <c r="D30" s="60"/>
      <c r="E30" s="14"/>
      <c r="F30" s="52"/>
      <c r="G30" s="28">
        <f t="shared" si="1"/>
        <v>0</v>
      </c>
      <c r="H30" s="28" t="str">
        <f t="shared" si="0"/>
        <v/>
      </c>
      <c r="I30" s="14"/>
      <c r="N30" s="38"/>
    </row>
    <row r="31" spans="1:14" x14ac:dyDescent="0.25">
      <c r="A31" s="28">
        <v>28</v>
      </c>
      <c r="B31" s="26"/>
      <c r="C31" s="26"/>
      <c r="D31" s="60"/>
      <c r="E31" s="14"/>
      <c r="F31" s="52"/>
      <c r="G31" s="28">
        <f t="shared" si="1"/>
        <v>0</v>
      </c>
      <c r="H31" s="28" t="str">
        <f t="shared" si="0"/>
        <v/>
      </c>
      <c r="I31" s="14"/>
      <c r="N31" s="38"/>
    </row>
    <row r="32" spans="1:14" x14ac:dyDescent="0.25">
      <c r="A32" s="28">
        <v>29</v>
      </c>
      <c r="B32" s="26"/>
      <c r="C32" s="26"/>
      <c r="D32" s="60"/>
      <c r="E32" s="14"/>
      <c r="F32" s="52"/>
      <c r="G32" s="28">
        <f t="shared" si="1"/>
        <v>0</v>
      </c>
      <c r="H32" s="28" t="str">
        <f t="shared" si="0"/>
        <v/>
      </c>
      <c r="I32" s="14"/>
      <c r="N32" s="38"/>
    </row>
    <row r="33" spans="1:14" x14ac:dyDescent="0.25">
      <c r="A33" s="28">
        <v>30</v>
      </c>
      <c r="B33" s="26"/>
      <c r="C33" s="26"/>
      <c r="D33" s="60"/>
      <c r="E33" s="14"/>
      <c r="F33" s="52"/>
      <c r="G33" s="28">
        <f t="shared" si="1"/>
        <v>0</v>
      </c>
      <c r="H33" s="28" t="str">
        <f t="shared" si="0"/>
        <v/>
      </c>
      <c r="I33" s="14"/>
      <c r="N33" s="38"/>
    </row>
    <row r="34" spans="1:14" x14ac:dyDescent="0.25">
      <c r="A34" s="28">
        <v>31</v>
      </c>
      <c r="B34" s="26"/>
      <c r="C34" s="26"/>
      <c r="D34" s="60"/>
      <c r="E34" s="14"/>
      <c r="F34" s="52"/>
      <c r="G34" s="28">
        <f t="shared" si="1"/>
        <v>0</v>
      </c>
      <c r="H34" s="28" t="str">
        <f t="shared" si="0"/>
        <v/>
      </c>
      <c r="I34" s="14"/>
      <c r="N34" s="38"/>
    </row>
    <row r="35" spans="1:14" x14ac:dyDescent="0.25">
      <c r="A35" s="28">
        <v>32</v>
      </c>
      <c r="B35" s="26"/>
      <c r="C35" s="26"/>
      <c r="D35" s="60"/>
      <c r="E35" s="14"/>
      <c r="F35" s="52"/>
      <c r="G35" s="28">
        <f t="shared" si="1"/>
        <v>0</v>
      </c>
      <c r="H35" s="28" t="str">
        <f t="shared" si="0"/>
        <v/>
      </c>
      <c r="I35" s="14"/>
      <c r="N35" s="38"/>
    </row>
    <row r="36" spans="1:14" x14ac:dyDescent="0.25">
      <c r="A36" s="28">
        <v>33</v>
      </c>
      <c r="B36" s="26"/>
      <c r="C36" s="26"/>
      <c r="D36" s="60"/>
      <c r="E36" s="14"/>
      <c r="F36" s="52"/>
      <c r="G36" s="28">
        <f t="shared" si="1"/>
        <v>0</v>
      </c>
      <c r="H36" s="28" t="str">
        <f t="shared" ref="H36:H67" si="2">IF(F36&gt;0,IF(E36="M",VLOOKUP(G36,AgeGroupMale,2),VLOOKUP(G36,AgeGroupFemale,2)),"")</f>
        <v/>
      </c>
      <c r="I36" s="14"/>
      <c r="N36" s="38"/>
    </row>
    <row r="37" spans="1:14" x14ac:dyDescent="0.25">
      <c r="A37" s="28">
        <v>34</v>
      </c>
      <c r="B37" s="26"/>
      <c r="C37" s="26"/>
      <c r="D37" s="60"/>
      <c r="E37" s="14"/>
      <c r="F37" s="52"/>
      <c r="G37" s="28">
        <f t="shared" si="1"/>
        <v>0</v>
      </c>
      <c r="H37" s="28" t="str">
        <f t="shared" si="2"/>
        <v/>
      </c>
      <c r="I37" s="14"/>
      <c r="N37" s="38"/>
    </row>
    <row r="38" spans="1:14" x14ac:dyDescent="0.25">
      <c r="A38" s="28">
        <v>35</v>
      </c>
      <c r="B38" s="26"/>
      <c r="C38" s="26"/>
      <c r="D38" s="60"/>
      <c r="E38" s="14"/>
      <c r="F38" s="52"/>
      <c r="G38" s="28">
        <f t="shared" si="1"/>
        <v>0</v>
      </c>
      <c r="H38" s="28" t="str">
        <f t="shared" si="2"/>
        <v/>
      </c>
      <c r="I38" s="14"/>
      <c r="N38" s="38"/>
    </row>
    <row r="39" spans="1:14" x14ac:dyDescent="0.25">
      <c r="A39" s="28">
        <v>36</v>
      </c>
      <c r="B39" s="26"/>
      <c r="C39" s="26"/>
      <c r="D39" s="60"/>
      <c r="E39" s="14"/>
      <c r="F39" s="52"/>
      <c r="G39" s="28">
        <f t="shared" si="1"/>
        <v>0</v>
      </c>
      <c r="H39" s="28" t="str">
        <f t="shared" si="2"/>
        <v/>
      </c>
      <c r="I39" s="14"/>
      <c r="N39" s="38"/>
    </row>
    <row r="40" spans="1:14" x14ac:dyDescent="0.25">
      <c r="A40" s="28">
        <v>37</v>
      </c>
      <c r="B40" s="26"/>
      <c r="C40" s="26"/>
      <c r="D40" s="60"/>
      <c r="E40" s="14"/>
      <c r="F40" s="52"/>
      <c r="G40" s="28">
        <f t="shared" si="1"/>
        <v>0</v>
      </c>
      <c r="H40" s="28" t="str">
        <f t="shared" si="2"/>
        <v/>
      </c>
      <c r="I40" s="14"/>
      <c r="N40" s="38"/>
    </row>
    <row r="41" spans="1:14" x14ac:dyDescent="0.25">
      <c r="A41" s="28">
        <v>38</v>
      </c>
      <c r="B41" s="26"/>
      <c r="C41" s="26"/>
      <c r="D41" s="60"/>
      <c r="E41" s="14"/>
      <c r="F41" s="52"/>
      <c r="G41" s="28">
        <f t="shared" si="1"/>
        <v>0</v>
      </c>
      <c r="H41" s="28" t="str">
        <f t="shared" si="2"/>
        <v/>
      </c>
      <c r="I41" s="14"/>
      <c r="N41" s="38"/>
    </row>
    <row r="42" spans="1:14" x14ac:dyDescent="0.25">
      <c r="A42" s="28">
        <v>39</v>
      </c>
      <c r="B42" s="26"/>
      <c r="C42" s="26"/>
      <c r="D42" s="60"/>
      <c r="E42" s="14"/>
      <c r="F42" s="52"/>
      <c r="G42" s="28">
        <f t="shared" si="1"/>
        <v>0</v>
      </c>
      <c r="H42" s="28" t="str">
        <f t="shared" si="2"/>
        <v/>
      </c>
      <c r="I42" s="14"/>
      <c r="N42" s="38"/>
    </row>
    <row r="43" spans="1:14" x14ac:dyDescent="0.25">
      <c r="A43" s="28">
        <v>40</v>
      </c>
      <c r="B43" s="26"/>
      <c r="C43" s="26"/>
      <c r="D43" s="60"/>
      <c r="E43" s="14"/>
      <c r="F43" s="52"/>
      <c r="G43" s="28">
        <f t="shared" si="1"/>
        <v>0</v>
      </c>
      <c r="H43" s="28" t="str">
        <f t="shared" si="2"/>
        <v/>
      </c>
      <c r="I43" s="14"/>
      <c r="N43" s="38"/>
    </row>
    <row r="44" spans="1:14" x14ac:dyDescent="0.25">
      <c r="A44" s="28">
        <v>41</v>
      </c>
      <c r="B44" s="26"/>
      <c r="C44" s="26"/>
      <c r="D44" s="60"/>
      <c r="E44" s="14"/>
      <c r="F44" s="52"/>
      <c r="G44" s="28">
        <f t="shared" si="1"/>
        <v>0</v>
      </c>
      <c r="H44" s="28" t="str">
        <f t="shared" si="2"/>
        <v/>
      </c>
      <c r="I44" s="14"/>
      <c r="N44" s="38"/>
    </row>
    <row r="45" spans="1:14" x14ac:dyDescent="0.25">
      <c r="A45" s="28">
        <v>42</v>
      </c>
      <c r="B45" s="26"/>
      <c r="C45" s="26"/>
      <c r="D45" s="60"/>
      <c r="E45" s="14"/>
      <c r="F45" s="52"/>
      <c r="G45" s="28">
        <f t="shared" si="1"/>
        <v>0</v>
      </c>
      <c r="H45" s="28" t="str">
        <f t="shared" si="2"/>
        <v/>
      </c>
      <c r="I45" s="14"/>
      <c r="N45" s="38"/>
    </row>
    <row r="46" spans="1:14" x14ac:dyDescent="0.25">
      <c r="A46" s="28">
        <v>43</v>
      </c>
      <c r="B46" s="26"/>
      <c r="C46" s="26"/>
      <c r="D46" s="60"/>
      <c r="E46" s="14"/>
      <c r="F46" s="52"/>
      <c r="G46" s="28">
        <f t="shared" si="1"/>
        <v>0</v>
      </c>
      <c r="H46" s="28" t="str">
        <f t="shared" si="2"/>
        <v/>
      </c>
      <c r="I46" s="14"/>
      <c r="N46" s="38"/>
    </row>
    <row r="47" spans="1:14" x14ac:dyDescent="0.25">
      <c r="A47" s="28">
        <v>44</v>
      </c>
      <c r="B47" s="26"/>
      <c r="C47" s="26"/>
      <c r="D47" s="60"/>
      <c r="E47" s="14"/>
      <c r="F47" s="52"/>
      <c r="G47" s="28">
        <f t="shared" si="1"/>
        <v>0</v>
      </c>
      <c r="H47" s="28" t="str">
        <f t="shared" si="2"/>
        <v/>
      </c>
      <c r="I47" s="14"/>
      <c r="N47" s="38"/>
    </row>
    <row r="48" spans="1:14" x14ac:dyDescent="0.25">
      <c r="A48" s="28">
        <v>45</v>
      </c>
      <c r="B48" s="26"/>
      <c r="C48" s="26"/>
      <c r="D48" s="60"/>
      <c r="E48" s="14"/>
      <c r="F48" s="52"/>
      <c r="G48" s="28">
        <f t="shared" si="1"/>
        <v>0</v>
      </c>
      <c r="H48" s="28" t="str">
        <f t="shared" si="2"/>
        <v/>
      </c>
      <c r="I48" s="14"/>
      <c r="N48" s="38"/>
    </row>
    <row r="49" spans="1:14" x14ac:dyDescent="0.25">
      <c r="A49" s="28">
        <v>46</v>
      </c>
      <c r="B49" s="26"/>
      <c r="C49" s="26"/>
      <c r="D49" s="60"/>
      <c r="E49" s="14"/>
      <c r="F49" s="52"/>
      <c r="G49" s="28">
        <f t="shared" si="1"/>
        <v>0</v>
      </c>
      <c r="H49" s="28" t="str">
        <f t="shared" si="2"/>
        <v/>
      </c>
      <c r="I49" s="14"/>
      <c r="N49" s="38"/>
    </row>
    <row r="50" spans="1:14" x14ac:dyDescent="0.25">
      <c r="A50" s="28">
        <v>47</v>
      </c>
      <c r="B50" s="26"/>
      <c r="C50" s="26"/>
      <c r="D50" s="60"/>
      <c r="E50" s="14"/>
      <c r="F50" s="52"/>
      <c r="G50" s="28">
        <f t="shared" si="1"/>
        <v>0</v>
      </c>
      <c r="H50" s="28" t="str">
        <f t="shared" si="2"/>
        <v/>
      </c>
      <c r="I50" s="14"/>
      <c r="N50" s="38"/>
    </row>
    <row r="51" spans="1:14" x14ac:dyDescent="0.25">
      <c r="A51" s="28">
        <v>48</v>
      </c>
      <c r="B51" s="26"/>
      <c r="C51" s="26"/>
      <c r="D51" s="60"/>
      <c r="E51" s="14"/>
      <c r="F51" s="52"/>
      <c r="G51" s="28">
        <f t="shared" si="1"/>
        <v>0</v>
      </c>
      <c r="H51" s="28" t="str">
        <f t="shared" si="2"/>
        <v/>
      </c>
      <c r="I51" s="14"/>
      <c r="N51" s="38"/>
    </row>
    <row r="52" spans="1:14" x14ac:dyDescent="0.25">
      <c r="A52" s="28">
        <v>49</v>
      </c>
      <c r="B52" s="26"/>
      <c r="C52" s="26"/>
      <c r="D52" s="60"/>
      <c r="E52" s="14"/>
      <c r="F52" s="52"/>
      <c r="G52" s="28">
        <f t="shared" si="1"/>
        <v>0</v>
      </c>
      <c r="H52" s="28" t="str">
        <f t="shared" si="2"/>
        <v/>
      </c>
      <c r="I52" s="14"/>
      <c r="N52" s="38"/>
    </row>
    <row r="53" spans="1:14" x14ac:dyDescent="0.25">
      <c r="A53" s="28">
        <v>50</v>
      </c>
      <c r="B53" s="26"/>
      <c r="C53" s="26"/>
      <c r="D53" s="60"/>
      <c r="E53" s="14"/>
      <c r="F53" s="52"/>
      <c r="G53" s="28">
        <f t="shared" si="1"/>
        <v>0</v>
      </c>
      <c r="H53" s="28" t="str">
        <f t="shared" si="2"/>
        <v/>
      </c>
      <c r="I53" s="14"/>
      <c r="N53" s="38"/>
    </row>
    <row r="54" spans="1:14" x14ac:dyDescent="0.25">
      <c r="A54" s="28">
        <v>51</v>
      </c>
      <c r="B54" s="26"/>
      <c r="C54" s="26"/>
      <c r="D54" s="60"/>
      <c r="E54" s="14"/>
      <c r="F54" s="52"/>
      <c r="G54" s="28">
        <f t="shared" si="1"/>
        <v>0</v>
      </c>
      <c r="H54" s="28" t="str">
        <f t="shared" si="2"/>
        <v/>
      </c>
      <c r="I54" s="14"/>
    </row>
    <row r="55" spans="1:14" x14ac:dyDescent="0.25">
      <c r="A55" s="28">
        <v>52</v>
      </c>
      <c r="B55" s="26"/>
      <c r="C55" s="26"/>
      <c r="D55" s="60"/>
      <c r="E55" s="14"/>
      <c r="F55" s="52"/>
      <c r="G55" s="28">
        <f t="shared" si="1"/>
        <v>0</v>
      </c>
      <c r="H55" s="28" t="str">
        <f t="shared" si="2"/>
        <v/>
      </c>
      <c r="I55" s="14"/>
    </row>
    <row r="56" spans="1:14" x14ac:dyDescent="0.25">
      <c r="A56" s="28">
        <v>53</v>
      </c>
      <c r="B56" s="26"/>
      <c r="C56" s="26"/>
      <c r="D56" s="60"/>
      <c r="E56" s="14"/>
      <c r="F56" s="52"/>
      <c r="G56" s="28">
        <f t="shared" si="1"/>
        <v>0</v>
      </c>
      <c r="H56" s="28" t="str">
        <f t="shared" si="2"/>
        <v/>
      </c>
      <c r="I56" s="14"/>
    </row>
    <row r="57" spans="1:14" x14ac:dyDescent="0.25">
      <c r="A57" s="28">
        <v>54</v>
      </c>
      <c r="B57" s="26"/>
      <c r="C57" s="26"/>
      <c r="D57" s="60"/>
      <c r="E57" s="14"/>
      <c r="F57" s="52"/>
      <c r="G57" s="28">
        <f t="shared" si="1"/>
        <v>0</v>
      </c>
      <c r="H57" s="28" t="str">
        <f t="shared" si="2"/>
        <v/>
      </c>
      <c r="I57" s="14"/>
    </row>
    <row r="58" spans="1:14" x14ac:dyDescent="0.25">
      <c r="A58" s="28">
        <v>55</v>
      </c>
      <c r="B58" s="26"/>
      <c r="C58" s="26"/>
      <c r="D58" s="60"/>
      <c r="E58" s="14"/>
      <c r="F58" s="52"/>
      <c r="G58" s="28">
        <f t="shared" si="1"/>
        <v>0</v>
      </c>
      <c r="H58" s="28" t="str">
        <f t="shared" si="2"/>
        <v/>
      </c>
      <c r="I58" s="14"/>
    </row>
    <row r="59" spans="1:14" x14ac:dyDescent="0.25">
      <c r="A59" s="28">
        <v>56</v>
      </c>
      <c r="B59" s="26"/>
      <c r="C59" s="26"/>
      <c r="D59" s="60"/>
      <c r="E59" s="14"/>
      <c r="F59" s="52"/>
      <c r="G59" s="28">
        <f t="shared" si="1"/>
        <v>0</v>
      </c>
      <c r="H59" s="28" t="str">
        <f t="shared" si="2"/>
        <v/>
      </c>
      <c r="I59" s="14"/>
    </row>
    <row r="60" spans="1:14" x14ac:dyDescent="0.25">
      <c r="A60" s="28">
        <v>57</v>
      </c>
      <c r="B60" s="26"/>
      <c r="C60" s="26"/>
      <c r="D60" s="60"/>
      <c r="E60" s="14"/>
      <c r="F60" s="52"/>
      <c r="G60" s="28">
        <f t="shared" si="1"/>
        <v>0</v>
      </c>
      <c r="H60" s="28" t="str">
        <f t="shared" si="2"/>
        <v/>
      </c>
      <c r="I60" s="14"/>
    </row>
    <row r="61" spans="1:14" x14ac:dyDescent="0.25">
      <c r="A61" s="28">
        <v>58</v>
      </c>
      <c r="B61" s="26"/>
      <c r="C61" s="26"/>
      <c r="D61" s="60"/>
      <c r="E61" s="14"/>
      <c r="F61" s="52"/>
      <c r="G61" s="28">
        <f t="shared" si="1"/>
        <v>0</v>
      </c>
      <c r="H61" s="28" t="str">
        <f t="shared" si="2"/>
        <v/>
      </c>
      <c r="I61" s="14"/>
    </row>
    <row r="62" spans="1:14" x14ac:dyDescent="0.25">
      <c r="A62" s="28">
        <v>59</v>
      </c>
      <c r="B62" s="26"/>
      <c r="C62" s="26"/>
      <c r="D62" s="60"/>
      <c r="E62" s="14"/>
      <c r="F62" s="52"/>
      <c r="G62" s="28">
        <f t="shared" si="1"/>
        <v>0</v>
      </c>
      <c r="H62" s="28" t="str">
        <f t="shared" si="2"/>
        <v/>
      </c>
      <c r="I62" s="14"/>
    </row>
    <row r="63" spans="1:14" x14ac:dyDescent="0.25">
      <c r="A63" s="28">
        <v>60</v>
      </c>
      <c r="B63" s="26"/>
      <c r="C63" s="26"/>
      <c r="D63" s="60"/>
      <c r="E63" s="14"/>
      <c r="F63" s="52"/>
      <c r="G63" s="28">
        <f t="shared" si="1"/>
        <v>0</v>
      </c>
      <c r="H63" s="28" t="str">
        <f t="shared" si="2"/>
        <v/>
      </c>
      <c r="I63" s="14"/>
    </row>
    <row r="64" spans="1:14" x14ac:dyDescent="0.25">
      <c r="A64" s="28">
        <v>61</v>
      </c>
      <c r="B64" s="26"/>
      <c r="C64" s="26"/>
      <c r="D64" s="60"/>
      <c r="E64" s="14"/>
      <c r="F64" s="52"/>
      <c r="G64" s="28">
        <f t="shared" si="1"/>
        <v>0</v>
      </c>
      <c r="H64" s="28" t="str">
        <f t="shared" si="2"/>
        <v/>
      </c>
      <c r="I64" s="14"/>
    </row>
    <row r="65" spans="1:9" x14ac:dyDescent="0.25">
      <c r="A65" s="28">
        <v>62</v>
      </c>
      <c r="B65" s="26"/>
      <c r="C65" s="26"/>
      <c r="D65" s="60"/>
      <c r="E65" s="14"/>
      <c r="F65" s="52"/>
      <c r="G65" s="28">
        <f t="shared" si="1"/>
        <v>0</v>
      </c>
      <c r="H65" s="28" t="str">
        <f t="shared" si="2"/>
        <v/>
      </c>
      <c r="I65" s="14"/>
    </row>
    <row r="66" spans="1:9" x14ac:dyDescent="0.25">
      <c r="A66" s="28">
        <v>63</v>
      </c>
      <c r="B66" s="26"/>
      <c r="C66" s="26"/>
      <c r="D66" s="60"/>
      <c r="E66" s="14"/>
      <c r="F66" s="52"/>
      <c r="G66" s="28">
        <f t="shared" si="1"/>
        <v>0</v>
      </c>
      <c r="H66" s="28" t="str">
        <f t="shared" si="2"/>
        <v/>
      </c>
      <c r="I66" s="14"/>
    </row>
    <row r="67" spans="1:9" x14ac:dyDescent="0.25">
      <c r="A67" s="28">
        <v>64</v>
      </c>
      <c r="B67" s="26"/>
      <c r="C67" s="26"/>
      <c r="D67" s="60"/>
      <c r="E67" s="14"/>
      <c r="F67" s="52"/>
      <c r="G67" s="28">
        <f t="shared" si="1"/>
        <v>0</v>
      </c>
      <c r="H67" s="28" t="str">
        <f t="shared" si="2"/>
        <v/>
      </c>
      <c r="I67" s="14"/>
    </row>
    <row r="68" spans="1:9" x14ac:dyDescent="0.25">
      <c r="A68" s="28">
        <v>65</v>
      </c>
      <c r="B68" s="26"/>
      <c r="C68" s="26"/>
      <c r="D68" s="60"/>
      <c r="E68" s="14"/>
      <c r="F68" s="52"/>
      <c r="G68" s="28">
        <f t="shared" si="1"/>
        <v>0</v>
      </c>
      <c r="H68" s="28" t="str">
        <f t="shared" ref="H68:H99" si="3">IF(F68&gt;0,IF(E68="M",VLOOKUP(G68,AgeGroupMale,2),VLOOKUP(G68,AgeGroupFemale,2)),"")</f>
        <v/>
      </c>
      <c r="I68" s="14"/>
    </row>
    <row r="69" spans="1:9" x14ac:dyDescent="0.25">
      <c r="A69" s="28">
        <v>66</v>
      </c>
      <c r="B69" s="26"/>
      <c r="C69" s="26"/>
      <c r="D69" s="60"/>
      <c r="E69" s="14"/>
      <c r="F69" s="52"/>
      <c r="G69" s="28">
        <f t="shared" ref="G69:G76" si="4">IF(F69&gt;0,INT(($N$4-F69)/365.25),0)</f>
        <v>0</v>
      </c>
      <c r="H69" s="28" t="str">
        <f t="shared" si="3"/>
        <v/>
      </c>
      <c r="I69" s="14"/>
    </row>
    <row r="70" spans="1:9" x14ac:dyDescent="0.25">
      <c r="A70" s="28">
        <v>67</v>
      </c>
      <c r="B70" s="26"/>
      <c r="C70" s="26"/>
      <c r="D70" s="60"/>
      <c r="E70" s="14"/>
      <c r="F70" s="52"/>
      <c r="G70" s="28">
        <f t="shared" si="4"/>
        <v>0</v>
      </c>
      <c r="H70" s="28" t="str">
        <f t="shared" si="3"/>
        <v/>
      </c>
      <c r="I70" s="14"/>
    </row>
    <row r="71" spans="1:9" x14ac:dyDescent="0.25">
      <c r="A71" s="28">
        <v>68</v>
      </c>
      <c r="B71" s="26"/>
      <c r="C71" s="26"/>
      <c r="D71" s="60"/>
      <c r="E71" s="14"/>
      <c r="F71" s="52"/>
      <c r="G71" s="28">
        <f t="shared" si="4"/>
        <v>0</v>
      </c>
      <c r="H71" s="28" t="str">
        <f t="shared" si="3"/>
        <v/>
      </c>
      <c r="I71" s="14"/>
    </row>
    <row r="72" spans="1:9" x14ac:dyDescent="0.25">
      <c r="A72" s="28">
        <v>69</v>
      </c>
      <c r="B72" s="26"/>
      <c r="C72" s="26"/>
      <c r="D72" s="60"/>
      <c r="E72" s="14"/>
      <c r="F72" s="52"/>
      <c r="G72" s="28">
        <f t="shared" si="4"/>
        <v>0</v>
      </c>
      <c r="H72" s="28" t="str">
        <f t="shared" si="3"/>
        <v/>
      </c>
      <c r="I72" s="14"/>
    </row>
    <row r="73" spans="1:9" x14ac:dyDescent="0.25">
      <c r="A73" s="28">
        <v>70</v>
      </c>
      <c r="B73" s="26"/>
      <c r="C73" s="26"/>
      <c r="D73" s="60"/>
      <c r="E73" s="14"/>
      <c r="F73" s="52"/>
      <c r="G73" s="28">
        <f t="shared" si="4"/>
        <v>0</v>
      </c>
      <c r="H73" s="28" t="str">
        <f t="shared" si="3"/>
        <v/>
      </c>
      <c r="I73" s="14"/>
    </row>
    <row r="74" spans="1:9" x14ac:dyDescent="0.25">
      <c r="A74" s="28">
        <v>71</v>
      </c>
      <c r="B74" s="26"/>
      <c r="C74" s="26"/>
      <c r="D74" s="60"/>
      <c r="E74" s="14"/>
      <c r="F74" s="52"/>
      <c r="G74" s="28">
        <f t="shared" si="4"/>
        <v>0</v>
      </c>
      <c r="H74" s="28" t="str">
        <f t="shared" si="3"/>
        <v/>
      </c>
      <c r="I74" s="14"/>
    </row>
    <row r="75" spans="1:9" x14ac:dyDescent="0.25">
      <c r="A75" s="28">
        <v>72</v>
      </c>
      <c r="B75" s="26"/>
      <c r="C75" s="26"/>
      <c r="D75" s="60"/>
      <c r="E75" s="14"/>
      <c r="F75" s="52"/>
      <c r="G75" s="28">
        <f t="shared" si="4"/>
        <v>0</v>
      </c>
      <c r="H75" s="28" t="str">
        <f t="shared" si="3"/>
        <v/>
      </c>
      <c r="I75" s="14"/>
    </row>
    <row r="76" spans="1:9" x14ac:dyDescent="0.25">
      <c r="A76" s="28">
        <v>73</v>
      </c>
      <c r="B76" s="26"/>
      <c r="C76" s="26"/>
      <c r="D76" s="60"/>
      <c r="E76" s="14"/>
      <c r="F76" s="52"/>
      <c r="G76" s="28">
        <f t="shared" si="4"/>
        <v>0</v>
      </c>
      <c r="H76" s="28" t="str">
        <f t="shared" si="3"/>
        <v/>
      </c>
      <c r="I76" s="14"/>
    </row>
    <row r="77" spans="1:9" x14ac:dyDescent="0.25">
      <c r="A77" s="28">
        <v>74</v>
      </c>
      <c r="B77" s="26"/>
      <c r="C77" s="26"/>
      <c r="D77" s="60"/>
      <c r="E77" s="14"/>
      <c r="F77" s="52"/>
      <c r="G77" s="28">
        <f t="shared" ref="G77:G103" si="5">IF(F77&gt;0,INT(($N$4-F77)/365.25),0)</f>
        <v>0</v>
      </c>
      <c r="H77" s="28" t="str">
        <f t="shared" si="3"/>
        <v/>
      </c>
      <c r="I77" s="14"/>
    </row>
    <row r="78" spans="1:9" x14ac:dyDescent="0.25">
      <c r="A78" s="28">
        <v>75</v>
      </c>
      <c r="B78" s="26"/>
      <c r="C78" s="26"/>
      <c r="D78" s="60"/>
      <c r="E78" s="14"/>
      <c r="F78" s="52"/>
      <c r="G78" s="28">
        <f t="shared" si="5"/>
        <v>0</v>
      </c>
      <c r="H78" s="28" t="str">
        <f t="shared" si="3"/>
        <v/>
      </c>
      <c r="I78" s="14"/>
    </row>
    <row r="79" spans="1:9" x14ac:dyDescent="0.25">
      <c r="A79" s="28">
        <v>76</v>
      </c>
      <c r="B79" s="26"/>
      <c r="C79" s="26"/>
      <c r="D79" s="60"/>
      <c r="E79" s="14"/>
      <c r="F79" s="52"/>
      <c r="G79" s="28">
        <f t="shared" si="5"/>
        <v>0</v>
      </c>
      <c r="H79" s="28" t="str">
        <f t="shared" si="3"/>
        <v/>
      </c>
      <c r="I79" s="14"/>
    </row>
    <row r="80" spans="1:9" x14ac:dyDescent="0.25">
      <c r="A80" s="28">
        <v>77</v>
      </c>
      <c r="B80" s="26"/>
      <c r="C80" s="26"/>
      <c r="D80" s="60"/>
      <c r="E80" s="14"/>
      <c r="F80" s="52"/>
      <c r="G80" s="28">
        <f t="shared" si="5"/>
        <v>0</v>
      </c>
      <c r="H80" s="28" t="str">
        <f t="shared" si="3"/>
        <v/>
      </c>
      <c r="I80" s="14"/>
    </row>
    <row r="81" spans="1:9" x14ac:dyDescent="0.25">
      <c r="A81" s="28">
        <v>78</v>
      </c>
      <c r="B81" s="26"/>
      <c r="C81" s="26"/>
      <c r="D81" s="60"/>
      <c r="E81" s="14"/>
      <c r="F81" s="52"/>
      <c r="G81" s="28">
        <f t="shared" si="5"/>
        <v>0</v>
      </c>
      <c r="H81" s="28" t="str">
        <f t="shared" si="3"/>
        <v/>
      </c>
      <c r="I81" s="14"/>
    </row>
    <row r="82" spans="1:9" x14ac:dyDescent="0.25">
      <c r="A82" s="28">
        <v>79</v>
      </c>
      <c r="B82" s="26"/>
      <c r="C82" s="26"/>
      <c r="D82" s="60"/>
      <c r="E82" s="14"/>
      <c r="F82" s="52"/>
      <c r="G82" s="28">
        <f t="shared" si="5"/>
        <v>0</v>
      </c>
      <c r="H82" s="28" t="str">
        <f t="shared" si="3"/>
        <v/>
      </c>
      <c r="I82" s="14"/>
    </row>
    <row r="83" spans="1:9" x14ac:dyDescent="0.25">
      <c r="A83" s="28">
        <v>80</v>
      </c>
      <c r="B83" s="26"/>
      <c r="C83" s="26"/>
      <c r="D83" s="60"/>
      <c r="E83" s="14"/>
      <c r="F83" s="52"/>
      <c r="G83" s="28">
        <f t="shared" si="5"/>
        <v>0</v>
      </c>
      <c r="H83" s="28" t="str">
        <f t="shared" si="3"/>
        <v/>
      </c>
      <c r="I83" s="14"/>
    </row>
    <row r="84" spans="1:9" x14ac:dyDescent="0.25">
      <c r="A84" s="28">
        <v>81</v>
      </c>
      <c r="B84" s="26"/>
      <c r="C84" s="26"/>
      <c r="D84" s="60"/>
      <c r="E84" s="14"/>
      <c r="F84" s="52"/>
      <c r="G84" s="28">
        <f t="shared" si="5"/>
        <v>0</v>
      </c>
      <c r="H84" s="28" t="str">
        <f t="shared" si="3"/>
        <v/>
      </c>
      <c r="I84" s="14"/>
    </row>
    <row r="85" spans="1:9" x14ac:dyDescent="0.25">
      <c r="A85" s="28">
        <v>82</v>
      </c>
      <c r="B85" s="26"/>
      <c r="C85" s="26"/>
      <c r="D85" s="60"/>
      <c r="E85" s="14"/>
      <c r="F85" s="52"/>
      <c r="G85" s="28">
        <f t="shared" si="5"/>
        <v>0</v>
      </c>
      <c r="H85" s="28" t="str">
        <f t="shared" si="3"/>
        <v/>
      </c>
      <c r="I85" s="14"/>
    </row>
    <row r="86" spans="1:9" x14ac:dyDescent="0.25">
      <c r="A86" s="28">
        <v>83</v>
      </c>
      <c r="B86" s="26"/>
      <c r="C86" s="26"/>
      <c r="D86" s="60"/>
      <c r="E86" s="14"/>
      <c r="F86" s="52"/>
      <c r="G86" s="28">
        <f t="shared" si="5"/>
        <v>0</v>
      </c>
      <c r="H86" s="28" t="str">
        <f t="shared" si="3"/>
        <v/>
      </c>
      <c r="I86" s="14"/>
    </row>
    <row r="87" spans="1:9" x14ac:dyDescent="0.25">
      <c r="A87" s="28">
        <v>84</v>
      </c>
      <c r="B87" s="26"/>
      <c r="C87" s="26"/>
      <c r="D87" s="60"/>
      <c r="E87" s="14"/>
      <c r="F87" s="52"/>
      <c r="G87" s="28">
        <f t="shared" si="5"/>
        <v>0</v>
      </c>
      <c r="H87" s="28" t="str">
        <f t="shared" si="3"/>
        <v/>
      </c>
      <c r="I87" s="14"/>
    </row>
    <row r="88" spans="1:9" x14ac:dyDescent="0.25">
      <c r="A88" s="28">
        <v>85</v>
      </c>
      <c r="B88" s="26"/>
      <c r="C88" s="26"/>
      <c r="D88" s="60"/>
      <c r="E88" s="14"/>
      <c r="F88" s="52"/>
      <c r="G88" s="28">
        <f t="shared" si="5"/>
        <v>0</v>
      </c>
      <c r="H88" s="28" t="str">
        <f t="shared" si="3"/>
        <v/>
      </c>
      <c r="I88" s="14"/>
    </row>
    <row r="89" spans="1:9" x14ac:dyDescent="0.25">
      <c r="A89" s="28">
        <v>86</v>
      </c>
      <c r="B89" s="26"/>
      <c r="C89" s="26"/>
      <c r="D89" s="60"/>
      <c r="E89" s="14"/>
      <c r="F89" s="52"/>
      <c r="G89" s="28">
        <f t="shared" si="5"/>
        <v>0</v>
      </c>
      <c r="H89" s="28" t="str">
        <f t="shared" si="3"/>
        <v/>
      </c>
      <c r="I89" s="14"/>
    </row>
    <row r="90" spans="1:9" x14ac:dyDescent="0.25">
      <c r="A90" s="28">
        <v>87</v>
      </c>
      <c r="B90" s="26"/>
      <c r="C90" s="26"/>
      <c r="D90" s="60"/>
      <c r="E90" s="14"/>
      <c r="F90" s="52"/>
      <c r="G90" s="28">
        <f t="shared" si="5"/>
        <v>0</v>
      </c>
      <c r="H90" s="28" t="str">
        <f t="shared" si="3"/>
        <v/>
      </c>
      <c r="I90" s="14"/>
    </row>
    <row r="91" spans="1:9" x14ac:dyDescent="0.25">
      <c r="A91" s="28">
        <v>88</v>
      </c>
      <c r="B91" s="26"/>
      <c r="C91" s="26"/>
      <c r="D91" s="60"/>
      <c r="E91" s="14"/>
      <c r="F91" s="52"/>
      <c r="G91" s="28">
        <f t="shared" si="5"/>
        <v>0</v>
      </c>
      <c r="H91" s="28" t="str">
        <f t="shared" si="3"/>
        <v/>
      </c>
      <c r="I91" s="14"/>
    </row>
    <row r="92" spans="1:9" x14ac:dyDescent="0.25">
      <c r="A92" s="28">
        <v>89</v>
      </c>
      <c r="B92" s="26"/>
      <c r="C92" s="26"/>
      <c r="D92" s="60"/>
      <c r="E92" s="14"/>
      <c r="F92" s="52"/>
      <c r="G92" s="28">
        <f t="shared" si="5"/>
        <v>0</v>
      </c>
      <c r="H92" s="28" t="str">
        <f t="shared" si="3"/>
        <v/>
      </c>
      <c r="I92" s="14"/>
    </row>
    <row r="93" spans="1:9" x14ac:dyDescent="0.25">
      <c r="A93" s="28">
        <v>90</v>
      </c>
      <c r="B93" s="26"/>
      <c r="C93" s="26"/>
      <c r="D93" s="60"/>
      <c r="E93" s="14"/>
      <c r="F93" s="52"/>
      <c r="G93" s="28">
        <f t="shared" si="5"/>
        <v>0</v>
      </c>
      <c r="H93" s="28" t="str">
        <f t="shared" si="3"/>
        <v/>
      </c>
      <c r="I93" s="14"/>
    </row>
    <row r="94" spans="1:9" x14ac:dyDescent="0.25">
      <c r="A94" s="28">
        <v>91</v>
      </c>
      <c r="B94" s="26"/>
      <c r="C94" s="26"/>
      <c r="D94" s="60"/>
      <c r="E94" s="14"/>
      <c r="F94" s="52"/>
      <c r="G94" s="28">
        <f t="shared" si="5"/>
        <v>0</v>
      </c>
      <c r="H94" s="28" t="str">
        <f t="shared" si="3"/>
        <v/>
      </c>
      <c r="I94" s="14"/>
    </row>
    <row r="95" spans="1:9" x14ac:dyDescent="0.25">
      <c r="A95" s="28">
        <v>92</v>
      </c>
      <c r="B95" s="26"/>
      <c r="C95" s="26"/>
      <c r="D95" s="60"/>
      <c r="E95" s="14"/>
      <c r="F95" s="52"/>
      <c r="G95" s="28">
        <f t="shared" si="5"/>
        <v>0</v>
      </c>
      <c r="H95" s="28" t="str">
        <f t="shared" si="3"/>
        <v/>
      </c>
      <c r="I95" s="14"/>
    </row>
    <row r="96" spans="1:9" x14ac:dyDescent="0.25">
      <c r="A96" s="28">
        <v>93</v>
      </c>
      <c r="B96" s="26"/>
      <c r="C96" s="26"/>
      <c r="D96" s="60"/>
      <c r="E96" s="14"/>
      <c r="F96" s="52"/>
      <c r="G96" s="28">
        <f t="shared" si="5"/>
        <v>0</v>
      </c>
      <c r="H96" s="28" t="str">
        <f t="shared" si="3"/>
        <v/>
      </c>
      <c r="I96" s="14"/>
    </row>
    <row r="97" spans="1:9" x14ac:dyDescent="0.25">
      <c r="A97" s="28">
        <v>94</v>
      </c>
      <c r="B97" s="26"/>
      <c r="C97" s="26"/>
      <c r="D97" s="60"/>
      <c r="E97" s="14"/>
      <c r="F97" s="52"/>
      <c r="G97" s="28">
        <f t="shared" si="5"/>
        <v>0</v>
      </c>
      <c r="H97" s="28" t="str">
        <f t="shared" si="3"/>
        <v/>
      </c>
      <c r="I97" s="14"/>
    </row>
    <row r="98" spans="1:9" x14ac:dyDescent="0.25">
      <c r="A98" s="28">
        <v>95</v>
      </c>
      <c r="B98" s="26"/>
      <c r="C98" s="26"/>
      <c r="D98" s="60"/>
      <c r="E98" s="14"/>
      <c r="F98" s="52"/>
      <c r="G98" s="28">
        <f t="shared" si="5"/>
        <v>0</v>
      </c>
      <c r="H98" s="28" t="str">
        <f t="shared" si="3"/>
        <v/>
      </c>
      <c r="I98" s="14"/>
    </row>
    <row r="99" spans="1:9" x14ac:dyDescent="0.25">
      <c r="A99" s="28">
        <v>96</v>
      </c>
      <c r="B99" s="26"/>
      <c r="C99" s="26"/>
      <c r="D99" s="60"/>
      <c r="E99" s="14"/>
      <c r="F99" s="52"/>
      <c r="G99" s="28">
        <f t="shared" si="5"/>
        <v>0</v>
      </c>
      <c r="H99" s="28" t="str">
        <f t="shared" si="3"/>
        <v/>
      </c>
      <c r="I99" s="14"/>
    </row>
    <row r="100" spans="1:9" x14ac:dyDescent="0.25">
      <c r="A100" s="28">
        <v>97</v>
      </c>
      <c r="B100" s="26"/>
      <c r="C100" s="26"/>
      <c r="D100" s="60"/>
      <c r="E100" s="14"/>
      <c r="F100" s="52"/>
      <c r="G100" s="28">
        <f t="shared" si="5"/>
        <v>0</v>
      </c>
      <c r="H100" s="28" t="str">
        <f>IF(F100&gt;0,IF(E100="M",VLOOKUP(G100,AgeGroupMale,2),VLOOKUP(G100,AgeGroupFemale,2)),"")</f>
        <v/>
      </c>
      <c r="I100" s="14"/>
    </row>
    <row r="101" spans="1:9" x14ac:dyDescent="0.25">
      <c r="A101" s="28">
        <v>98</v>
      </c>
      <c r="B101" s="26"/>
      <c r="C101" s="26"/>
      <c r="D101" s="60"/>
      <c r="E101" s="14"/>
      <c r="F101" s="52"/>
      <c r="G101" s="28">
        <f t="shared" si="5"/>
        <v>0</v>
      </c>
      <c r="H101" s="28" t="str">
        <f>IF(F101&gt;0,IF(E101="M",VLOOKUP(G101,AgeGroupMale,2),VLOOKUP(G101,AgeGroupFemale,2)),"")</f>
        <v/>
      </c>
      <c r="I101" s="14"/>
    </row>
    <row r="102" spans="1:9" x14ac:dyDescent="0.25">
      <c r="A102" s="28">
        <v>99</v>
      </c>
      <c r="B102" s="26"/>
      <c r="C102" s="26"/>
      <c r="D102" s="60"/>
      <c r="E102" s="14"/>
      <c r="F102" s="52"/>
      <c r="G102" s="28">
        <f t="shared" si="5"/>
        <v>0</v>
      </c>
      <c r="H102" s="28" t="str">
        <f>IF(F102&gt;0,IF(E102="M",VLOOKUP(G102,AgeGroupMale,2),VLOOKUP(G102,AgeGroupFemale,2)),"")</f>
        <v/>
      </c>
      <c r="I102" s="14"/>
    </row>
    <row r="103" spans="1:9" x14ac:dyDescent="0.25">
      <c r="A103" s="28">
        <v>100</v>
      </c>
      <c r="B103" s="26"/>
      <c r="C103" s="26"/>
      <c r="D103" s="60"/>
      <c r="E103" s="14"/>
      <c r="F103" s="52"/>
      <c r="G103" s="28">
        <f t="shared" si="5"/>
        <v>0</v>
      </c>
      <c r="H103" s="28" t="str">
        <f>IF(F103&gt;0,IF(E103="M",VLOOKUP(G103,AgeGroupMale,2),VLOOKUP(G103,AgeGroupFemale,2)),"")</f>
        <v/>
      </c>
      <c r="I103" s="14"/>
    </row>
  </sheetData>
  <sheetProtection password="CE88" sheet="1" objects="1" scenarios="1" selectLockedCells="1"/>
  <conditionalFormatting sqref="G4:G103">
    <cfRule type="cellIs" dxfId="52" priority="1" stopIfTrue="1" operator="equal">
      <formula>0</formula>
    </cfRule>
    <cfRule type="cellIs" dxfId="51" priority="2" stopIfTrue="1" operator="greaterThan">
      <formula>22</formula>
    </cfRule>
  </conditionalFormatting>
  <dataValidations count="2">
    <dataValidation type="list" allowBlank="1" showInputMessage="1" showErrorMessage="1" sqref="I4:I103" xr:uid="{00000000-0002-0000-0200-000000000000}">
      <formula1>$O$4:$O$5</formula1>
    </dataValidation>
    <dataValidation type="list" allowBlank="1" showInputMessage="1" showErrorMessage="1" sqref="E4:E103" xr:uid="{00000000-0002-0000-0200-000001000000}">
      <formula1>$P$4:$P$5</formula1>
    </dataValidation>
  </dataValidations>
  <pageMargins left="0.25" right="0.25" top="0.75" bottom="0.75" header="0.3" footer="0.3"/>
  <pageSetup scale="84" fitToHeight="2" orientation="portrait" r:id="rId1"/>
  <headerFooter>
    <oddHeader>&amp;LAAU Regional Tournament&amp;R&amp;A</oddHeader>
    <oddFooter>&amp;RPage &amp;P of &amp;N</oddFooter>
  </headerFooter>
  <customProperties>
    <customPr name="DVSECTION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24"/>
  <sheetViews>
    <sheetView workbookViewId="0">
      <selection activeCell="L6" sqref="L6"/>
    </sheetView>
  </sheetViews>
  <sheetFormatPr defaultColWidth="8.85546875" defaultRowHeight="15" x14ac:dyDescent="0.25"/>
  <cols>
    <col min="1" max="1" width="3.42578125" customWidth="1"/>
    <col min="2" max="2" width="4.7109375" bestFit="1" customWidth="1"/>
    <col min="3" max="3" width="7.28515625" bestFit="1" customWidth="1"/>
    <col min="4" max="4" width="8.28515625" bestFit="1" customWidth="1"/>
    <col min="5" max="5" width="20.7109375" customWidth="1"/>
    <col min="6" max="6" width="20.85546875" customWidth="1"/>
    <col min="7" max="7" width="3.5703125" bestFit="1" customWidth="1"/>
    <col min="8" max="8" width="3.140625" customWidth="1"/>
    <col min="9" max="9" width="3.42578125" style="2" customWidth="1"/>
    <col min="10" max="10" width="4.7109375" style="2" bestFit="1" customWidth="1"/>
    <col min="11" max="11" width="6.28515625" style="2" bestFit="1" customWidth="1"/>
    <col min="12" max="12" width="8.28515625" bestFit="1" customWidth="1"/>
    <col min="13" max="14" width="20.7109375" customWidth="1"/>
    <col min="15" max="15" width="3.5703125" bestFit="1" customWidth="1"/>
  </cols>
  <sheetData>
    <row r="1" spans="1:15" ht="18.75" x14ac:dyDescent="0.25">
      <c r="A1" s="39" t="s">
        <v>37</v>
      </c>
      <c r="L1" s="40"/>
      <c r="O1" s="34" t="str">
        <f>CONCATENATE("Team: ",'Team Info'!$B$3)</f>
        <v xml:space="preserve">Team: </v>
      </c>
    </row>
    <row r="2" spans="1:15" x14ac:dyDescent="0.25">
      <c r="A2" t="s">
        <v>129</v>
      </c>
    </row>
    <row r="3" spans="1:15" x14ac:dyDescent="0.25">
      <c r="A3" t="s">
        <v>131</v>
      </c>
      <c r="I3" s="41" t="s">
        <v>130</v>
      </c>
      <c r="J3" s="41"/>
      <c r="K3" s="41"/>
    </row>
    <row r="4" spans="1:15" ht="23.25" x14ac:dyDescent="0.25">
      <c r="A4" s="20" t="s">
        <v>0</v>
      </c>
      <c r="B4" s="20" t="s">
        <v>30</v>
      </c>
      <c r="C4" s="20" t="s">
        <v>31</v>
      </c>
      <c r="D4" s="42" t="s">
        <v>7</v>
      </c>
      <c r="E4" s="20" t="s">
        <v>2</v>
      </c>
      <c r="F4" s="20" t="s">
        <v>1</v>
      </c>
      <c r="G4" s="20" t="s">
        <v>31</v>
      </c>
      <c r="I4" s="20" t="s">
        <v>0</v>
      </c>
      <c r="J4" s="20" t="s">
        <v>30</v>
      </c>
      <c r="K4" s="20" t="s">
        <v>31</v>
      </c>
      <c r="L4" s="42" t="s">
        <v>7</v>
      </c>
      <c r="M4" s="20" t="s">
        <v>2</v>
      </c>
      <c r="N4" s="20" t="s">
        <v>1</v>
      </c>
      <c r="O4" s="20" t="s">
        <v>31</v>
      </c>
    </row>
    <row r="5" spans="1:15" x14ac:dyDescent="0.25">
      <c r="A5" s="43">
        <v>1</v>
      </c>
      <c r="B5" s="43" t="s">
        <v>72</v>
      </c>
      <c r="C5" s="43" t="s">
        <v>117</v>
      </c>
      <c r="D5" s="14"/>
      <c r="E5" s="36" t="str">
        <f t="shared" ref="E5:E20" si="0">IF(D5&gt;0,VLOOKUP(D5,Jumpers,2),"")</f>
        <v/>
      </c>
      <c r="F5" s="36" t="str">
        <f t="shared" ref="F5:F20" si="1">IF(D5&gt;0,VLOOKUP(D5,Jumpers,3),"")</f>
        <v/>
      </c>
      <c r="G5" s="36" t="str">
        <f>IF(D5&lt;&gt;"",VLOOKUP(D5,Competitor!$A$4:$G$103,7,FALSE),"")</f>
        <v/>
      </c>
      <c r="I5" s="43">
        <v>1</v>
      </c>
      <c r="J5" s="43" t="s">
        <v>73</v>
      </c>
      <c r="K5" s="43" t="s">
        <v>123</v>
      </c>
      <c r="L5" s="14"/>
      <c r="M5" s="36" t="str">
        <f t="shared" ref="M5:M20" si="2">IF(L5&gt;0,VLOOKUP(L5,Jumpers,2),"")</f>
        <v/>
      </c>
      <c r="N5" s="36" t="str">
        <f t="shared" ref="N5:N20" si="3">IF(L5&gt;0,VLOOKUP(L5,Jumpers,3),"")</f>
        <v/>
      </c>
      <c r="O5" s="36" t="str">
        <f>IF(L5&lt;&gt;"",VLOOKUP(L5,Competitor!$A$4:$G$103,7,FALSE),"")</f>
        <v/>
      </c>
    </row>
    <row r="6" spans="1:15" x14ac:dyDescent="0.25">
      <c r="A6" s="43">
        <v>2</v>
      </c>
      <c r="B6" s="43" t="s">
        <v>72</v>
      </c>
      <c r="C6" s="43" t="s">
        <v>117</v>
      </c>
      <c r="D6" s="14"/>
      <c r="E6" s="36" t="str">
        <f t="shared" si="0"/>
        <v/>
      </c>
      <c r="F6" s="36" t="str">
        <f t="shared" si="1"/>
        <v/>
      </c>
      <c r="G6" s="36" t="str">
        <f>IF(D6&lt;&gt;"",VLOOKUP(D6,Competitor!$A$4:$G$103,7,FALSE),"")</f>
        <v/>
      </c>
      <c r="I6" s="43">
        <v>2</v>
      </c>
      <c r="J6" s="43" t="s">
        <v>73</v>
      </c>
      <c r="K6" s="43" t="s">
        <v>123</v>
      </c>
      <c r="L6" s="14"/>
      <c r="M6" s="36" t="str">
        <f t="shared" si="2"/>
        <v/>
      </c>
      <c r="N6" s="36" t="str">
        <f t="shared" si="3"/>
        <v/>
      </c>
      <c r="O6" s="36" t="str">
        <f>IF(L6&lt;&gt;"",VLOOKUP(L6,Competitor!$A$4:$G$103,7,FALSE),"")</f>
        <v/>
      </c>
    </row>
    <row r="7" spans="1:15" x14ac:dyDescent="0.25">
      <c r="A7" s="43">
        <v>3</v>
      </c>
      <c r="B7" s="43" t="s">
        <v>72</v>
      </c>
      <c r="C7" s="43" t="s">
        <v>117</v>
      </c>
      <c r="D7" s="14"/>
      <c r="E7" s="36" t="str">
        <f t="shared" si="0"/>
        <v/>
      </c>
      <c r="F7" s="36" t="str">
        <f t="shared" si="1"/>
        <v/>
      </c>
      <c r="G7" s="36" t="str">
        <f>IF(D7&lt;&gt;"",VLOOKUP(D7,Competitor!$A$4:$G$103,7,FALSE),"")</f>
        <v/>
      </c>
      <c r="I7" s="43">
        <v>3</v>
      </c>
      <c r="J7" s="43" t="s">
        <v>73</v>
      </c>
      <c r="K7" s="43" t="s">
        <v>123</v>
      </c>
      <c r="L7" s="14"/>
      <c r="M7" s="36" t="str">
        <f t="shared" si="2"/>
        <v/>
      </c>
      <c r="N7" s="36" t="str">
        <f t="shared" si="3"/>
        <v/>
      </c>
      <c r="O7" s="36" t="str">
        <f>IF(L7&lt;&gt;"",VLOOKUP(L7,Competitor!$A$4:$G$103,7,FALSE),"")</f>
        <v/>
      </c>
    </row>
    <row r="8" spans="1:15" x14ac:dyDescent="0.25">
      <c r="A8" s="43">
        <v>4</v>
      </c>
      <c r="B8" s="43" t="s">
        <v>72</v>
      </c>
      <c r="C8" s="43" t="s">
        <v>117</v>
      </c>
      <c r="D8" s="14"/>
      <c r="E8" s="36" t="str">
        <f t="shared" si="0"/>
        <v/>
      </c>
      <c r="F8" s="36" t="str">
        <f t="shared" si="1"/>
        <v/>
      </c>
      <c r="G8" s="36" t="str">
        <f>IF(D8&lt;&gt;"",VLOOKUP(D8,Competitor!$A$4:$G$103,7,FALSE),"")</f>
        <v/>
      </c>
      <c r="I8" s="43">
        <v>4</v>
      </c>
      <c r="J8" s="43" t="s">
        <v>73</v>
      </c>
      <c r="K8" s="43" t="s">
        <v>123</v>
      </c>
      <c r="L8" s="14"/>
      <c r="M8" s="36" t="str">
        <f t="shared" si="2"/>
        <v/>
      </c>
      <c r="N8" s="36" t="str">
        <f t="shared" si="3"/>
        <v/>
      </c>
      <c r="O8" s="36" t="str">
        <f>IF(L8&lt;&gt;"",VLOOKUP(L8,Competitor!$A$4:$G$103,7,FALSE),"")</f>
        <v/>
      </c>
    </row>
    <row r="9" spans="1:15" x14ac:dyDescent="0.25">
      <c r="A9" s="43">
        <v>5</v>
      </c>
      <c r="B9" s="43" t="s">
        <v>72</v>
      </c>
      <c r="C9" s="43" t="s">
        <v>117</v>
      </c>
      <c r="D9" s="14"/>
      <c r="E9" s="36" t="str">
        <f t="shared" si="0"/>
        <v/>
      </c>
      <c r="F9" s="36" t="str">
        <f t="shared" si="1"/>
        <v/>
      </c>
      <c r="G9" s="36" t="str">
        <f>IF(D9&lt;&gt;"",VLOOKUP(D9,Competitor!$A$4:$G$103,7,FALSE),"")</f>
        <v/>
      </c>
      <c r="I9" s="43">
        <v>5</v>
      </c>
      <c r="J9" s="43" t="s">
        <v>73</v>
      </c>
      <c r="K9" s="43" t="s">
        <v>123</v>
      </c>
      <c r="L9" s="14"/>
      <c r="M9" s="36" t="str">
        <f t="shared" si="2"/>
        <v/>
      </c>
      <c r="N9" s="36" t="str">
        <f t="shared" si="3"/>
        <v/>
      </c>
      <c r="O9" s="36" t="str">
        <f>IF(L9&lt;&gt;"",VLOOKUP(L9,Competitor!$A$4:$G$103,7,FALSE),"")</f>
        <v/>
      </c>
    </row>
    <row r="10" spans="1:15" x14ac:dyDescent="0.25">
      <c r="A10" s="43">
        <v>6</v>
      </c>
      <c r="B10" s="43" t="s">
        <v>72</v>
      </c>
      <c r="C10" s="43" t="s">
        <v>117</v>
      </c>
      <c r="D10" s="14"/>
      <c r="E10" s="36" t="str">
        <f t="shared" si="0"/>
        <v/>
      </c>
      <c r="F10" s="36" t="str">
        <f t="shared" si="1"/>
        <v/>
      </c>
      <c r="G10" s="36" t="str">
        <f>IF(D10&lt;&gt;"",VLOOKUP(D10,Competitor!$A$4:$G$103,7,FALSE),"")</f>
        <v/>
      </c>
      <c r="I10" s="43">
        <v>6</v>
      </c>
      <c r="J10" s="43" t="s">
        <v>73</v>
      </c>
      <c r="K10" s="43" t="s">
        <v>123</v>
      </c>
      <c r="L10" s="14"/>
      <c r="M10" s="36" t="str">
        <f t="shared" si="2"/>
        <v/>
      </c>
      <c r="N10" s="36" t="str">
        <f t="shared" si="3"/>
        <v/>
      </c>
      <c r="O10" s="36" t="str">
        <f>IF(L10&lt;&gt;"",VLOOKUP(L10,Competitor!$A$4:$G$103,7,FALSE),"")</f>
        <v/>
      </c>
    </row>
    <row r="11" spans="1:15" x14ac:dyDescent="0.25">
      <c r="A11" s="43">
        <v>7</v>
      </c>
      <c r="B11" s="43" t="s">
        <v>72</v>
      </c>
      <c r="C11" s="43" t="s">
        <v>117</v>
      </c>
      <c r="D11" s="14"/>
      <c r="E11" s="36" t="str">
        <f t="shared" si="0"/>
        <v/>
      </c>
      <c r="F11" s="36" t="str">
        <f t="shared" si="1"/>
        <v/>
      </c>
      <c r="G11" s="36" t="str">
        <f>IF(D11&lt;&gt;"",VLOOKUP(D11,Competitor!$A$4:$G$103,7,FALSE),"")</f>
        <v/>
      </c>
      <c r="I11" s="43">
        <v>7</v>
      </c>
      <c r="J11" s="43" t="s">
        <v>73</v>
      </c>
      <c r="K11" s="43" t="s">
        <v>123</v>
      </c>
      <c r="L11" s="14"/>
      <c r="M11" s="36" t="str">
        <f t="shared" si="2"/>
        <v/>
      </c>
      <c r="N11" s="36" t="str">
        <f t="shared" si="3"/>
        <v/>
      </c>
      <c r="O11" s="36" t="str">
        <f>IF(L11&lt;&gt;"",VLOOKUP(L11,Competitor!$A$4:$G$103,7,FALSE),"")</f>
        <v/>
      </c>
    </row>
    <row r="12" spans="1:15" x14ac:dyDescent="0.25">
      <c r="A12" s="43">
        <v>8</v>
      </c>
      <c r="B12" s="43" t="s">
        <v>72</v>
      </c>
      <c r="C12" s="43" t="s">
        <v>117</v>
      </c>
      <c r="D12" s="14"/>
      <c r="E12" s="36" t="str">
        <f t="shared" si="0"/>
        <v/>
      </c>
      <c r="F12" s="36" t="str">
        <f t="shared" si="1"/>
        <v/>
      </c>
      <c r="G12" s="36" t="str">
        <f>IF(D12&lt;&gt;"",VLOOKUP(D12,Competitor!$A$4:$G$103,7,FALSE),"")</f>
        <v/>
      </c>
      <c r="I12" s="43">
        <v>8</v>
      </c>
      <c r="J12" s="43" t="s">
        <v>73</v>
      </c>
      <c r="K12" s="43" t="s">
        <v>123</v>
      </c>
      <c r="L12" s="14"/>
      <c r="M12" s="36" t="str">
        <f t="shared" si="2"/>
        <v/>
      </c>
      <c r="N12" s="36" t="str">
        <f t="shared" si="3"/>
        <v/>
      </c>
      <c r="O12" s="36" t="str">
        <f>IF(L12&lt;&gt;"",VLOOKUP(L12,Competitor!$A$4:$G$103,7,FALSE),"")</f>
        <v/>
      </c>
    </row>
    <row r="13" spans="1:15" x14ac:dyDescent="0.25">
      <c r="A13" s="43">
        <v>9</v>
      </c>
      <c r="B13" s="43" t="s">
        <v>72</v>
      </c>
      <c r="C13" s="43" t="s">
        <v>117</v>
      </c>
      <c r="D13" s="14"/>
      <c r="E13" s="36" t="str">
        <f t="shared" si="0"/>
        <v/>
      </c>
      <c r="F13" s="36" t="str">
        <f t="shared" si="1"/>
        <v/>
      </c>
      <c r="G13" s="36" t="str">
        <f>IF(D13&lt;&gt;"",VLOOKUP(D13,Competitor!$A$4:$G$103,7,FALSE),"")</f>
        <v/>
      </c>
      <c r="I13" s="43">
        <v>9</v>
      </c>
      <c r="J13" s="43" t="s">
        <v>73</v>
      </c>
      <c r="K13" s="43" t="s">
        <v>123</v>
      </c>
      <c r="L13" s="14"/>
      <c r="M13" s="36" t="str">
        <f t="shared" si="2"/>
        <v/>
      </c>
      <c r="N13" s="36" t="str">
        <f t="shared" si="3"/>
        <v/>
      </c>
      <c r="O13" s="36" t="str">
        <f>IF(L13&lt;&gt;"",VLOOKUP(L13,Competitor!$A$4:$G$103,7,FALSE),"")</f>
        <v/>
      </c>
    </row>
    <row r="14" spans="1:15" x14ac:dyDescent="0.25">
      <c r="A14" s="43">
        <v>10</v>
      </c>
      <c r="B14" s="43" t="s">
        <v>72</v>
      </c>
      <c r="C14" s="43" t="s">
        <v>117</v>
      </c>
      <c r="D14" s="14"/>
      <c r="E14" s="36" t="str">
        <f t="shared" si="0"/>
        <v/>
      </c>
      <c r="F14" s="36" t="str">
        <f t="shared" si="1"/>
        <v/>
      </c>
      <c r="G14" s="36" t="str">
        <f>IF(D14&lt;&gt;"",VLOOKUP(D14,Competitor!$A$4:$G$103,7,FALSE),"")</f>
        <v/>
      </c>
      <c r="I14" s="43">
        <v>10</v>
      </c>
      <c r="J14" s="43" t="s">
        <v>73</v>
      </c>
      <c r="K14" s="43" t="s">
        <v>123</v>
      </c>
      <c r="L14" s="14"/>
      <c r="M14" s="36" t="str">
        <f t="shared" si="2"/>
        <v/>
      </c>
      <c r="N14" s="36" t="str">
        <f t="shared" si="3"/>
        <v/>
      </c>
      <c r="O14" s="36" t="str">
        <f>IF(L14&lt;&gt;"",VLOOKUP(L14,Competitor!$A$4:$G$103,7,FALSE),"")</f>
        <v/>
      </c>
    </row>
    <row r="15" spans="1:15" x14ac:dyDescent="0.25">
      <c r="A15" s="43">
        <v>11</v>
      </c>
      <c r="B15" s="43" t="s">
        <v>72</v>
      </c>
      <c r="C15" s="43" t="s">
        <v>117</v>
      </c>
      <c r="D15" s="82"/>
      <c r="E15" s="83"/>
      <c r="F15" s="83"/>
      <c r="G15" s="83"/>
      <c r="I15" s="43">
        <v>11</v>
      </c>
      <c r="J15" s="43" t="s">
        <v>73</v>
      </c>
      <c r="K15" s="43" t="s">
        <v>123</v>
      </c>
      <c r="L15" s="82"/>
      <c r="M15" s="83"/>
      <c r="N15" s="83"/>
      <c r="O15" s="83"/>
    </row>
    <row r="16" spans="1:15" x14ac:dyDescent="0.25">
      <c r="A16" s="43">
        <v>12</v>
      </c>
      <c r="B16" s="43" t="s">
        <v>72</v>
      </c>
      <c r="C16" s="43" t="s">
        <v>117</v>
      </c>
      <c r="D16" s="82"/>
      <c r="E16" s="83"/>
      <c r="F16" s="83"/>
      <c r="G16" s="83"/>
      <c r="I16" s="43">
        <v>12</v>
      </c>
      <c r="J16" s="43" t="s">
        <v>73</v>
      </c>
      <c r="K16" s="43" t="s">
        <v>123</v>
      </c>
      <c r="L16" s="82"/>
      <c r="M16" s="83"/>
      <c r="N16" s="83"/>
      <c r="O16" s="83"/>
    </row>
    <row r="17" spans="1:15" x14ac:dyDescent="0.25">
      <c r="A17" s="43">
        <v>13</v>
      </c>
      <c r="B17" s="43" t="s">
        <v>72</v>
      </c>
      <c r="C17" s="43" t="s">
        <v>117</v>
      </c>
      <c r="D17" s="82"/>
      <c r="E17" s="83"/>
      <c r="F17" s="83"/>
      <c r="G17" s="83"/>
      <c r="I17" s="43">
        <v>13</v>
      </c>
      <c r="J17" s="43" t="s">
        <v>73</v>
      </c>
      <c r="K17" s="43" t="s">
        <v>123</v>
      </c>
      <c r="L17" s="82"/>
      <c r="M17" s="83"/>
      <c r="N17" s="83"/>
      <c r="O17" s="83"/>
    </row>
    <row r="18" spans="1:15" x14ac:dyDescent="0.25">
      <c r="A18" s="43">
        <v>14</v>
      </c>
      <c r="B18" s="43" t="s">
        <v>72</v>
      </c>
      <c r="C18" s="43" t="s">
        <v>117</v>
      </c>
      <c r="D18" s="82"/>
      <c r="E18" s="83"/>
      <c r="F18" s="83"/>
      <c r="G18" s="83"/>
      <c r="I18" s="43">
        <v>14</v>
      </c>
      <c r="J18" s="43" t="s">
        <v>73</v>
      </c>
      <c r="K18" s="43" t="s">
        <v>123</v>
      </c>
      <c r="L18" s="82"/>
      <c r="M18" s="83"/>
      <c r="N18" s="83"/>
      <c r="O18" s="83"/>
    </row>
    <row r="19" spans="1:15" x14ac:dyDescent="0.25">
      <c r="A19" s="43">
        <v>15</v>
      </c>
      <c r="B19" s="43" t="s">
        <v>72</v>
      </c>
      <c r="C19" s="43" t="s">
        <v>117</v>
      </c>
      <c r="D19" s="82"/>
      <c r="E19" s="83"/>
      <c r="F19" s="83"/>
      <c r="G19" s="83"/>
      <c r="I19" s="43">
        <v>15</v>
      </c>
      <c r="J19" s="43" t="s">
        <v>73</v>
      </c>
      <c r="K19" s="43" t="s">
        <v>123</v>
      </c>
      <c r="L19" s="82"/>
      <c r="M19" s="83"/>
      <c r="N19" s="83"/>
      <c r="O19" s="83"/>
    </row>
    <row r="20" spans="1:15" x14ac:dyDescent="0.25">
      <c r="A20" s="43">
        <v>16</v>
      </c>
      <c r="B20" s="43" t="s">
        <v>72</v>
      </c>
      <c r="C20" s="43" t="s">
        <v>117</v>
      </c>
      <c r="D20" s="14"/>
      <c r="E20" s="36" t="str">
        <f t="shared" si="0"/>
        <v/>
      </c>
      <c r="F20" s="36" t="str">
        <f t="shared" si="1"/>
        <v/>
      </c>
      <c r="G20" s="36" t="str">
        <f>IF(D20&lt;&gt;"",VLOOKUP(D20,Competitor!$A$4:$G$103,7,FALSE),"")</f>
        <v/>
      </c>
      <c r="I20" s="43">
        <v>16</v>
      </c>
      <c r="J20" s="43" t="s">
        <v>73</v>
      </c>
      <c r="K20" s="43" t="s">
        <v>123</v>
      </c>
      <c r="L20" s="14"/>
      <c r="M20" s="36" t="str">
        <f t="shared" si="2"/>
        <v/>
      </c>
      <c r="N20" s="36" t="str">
        <f t="shared" si="3"/>
        <v/>
      </c>
      <c r="O20" s="36" t="str">
        <f>IF(L20&lt;&gt;"",VLOOKUP(L20,Competitor!$A$4:$G$103,7,FALSE),"")</f>
        <v/>
      </c>
    </row>
    <row r="21" spans="1:15" x14ac:dyDescent="0.25">
      <c r="A21" s="43">
        <v>17</v>
      </c>
      <c r="B21" s="43" t="s">
        <v>72</v>
      </c>
      <c r="C21" s="43" t="s">
        <v>117</v>
      </c>
      <c r="D21" s="14"/>
      <c r="E21" s="36" t="str">
        <f>IF(D21&gt;0,VLOOKUP(D21,Jumpers,2),"")</f>
        <v/>
      </c>
      <c r="F21" s="36" t="str">
        <f>IF(D21&gt;0,VLOOKUP(D21,Jumpers,3),"")</f>
        <v/>
      </c>
      <c r="G21" s="36" t="str">
        <f>IF(D21&lt;&gt;"",VLOOKUP(D21,Competitor!$A$4:$G$103,7,FALSE),"")</f>
        <v/>
      </c>
      <c r="I21" s="43">
        <v>17</v>
      </c>
      <c r="J21" s="43" t="s">
        <v>73</v>
      </c>
      <c r="K21" s="43" t="s">
        <v>123</v>
      </c>
      <c r="L21" s="14"/>
      <c r="M21" s="36" t="str">
        <f>IF(L21&gt;0,VLOOKUP(L21,Jumpers,2),"")</f>
        <v/>
      </c>
      <c r="N21" s="36" t="str">
        <f>IF(L21&gt;0,VLOOKUP(L21,Jumpers,3),"")</f>
        <v/>
      </c>
      <c r="O21" s="36" t="str">
        <f>IF(L21&lt;&gt;"",VLOOKUP(L21,Competitor!$A$4:$G$103,7,FALSE),"")</f>
        <v/>
      </c>
    </row>
    <row r="22" spans="1:15" x14ac:dyDescent="0.25">
      <c r="A22" s="43">
        <v>18</v>
      </c>
      <c r="B22" s="43" t="s">
        <v>72</v>
      </c>
      <c r="C22" s="43" t="s">
        <v>117</v>
      </c>
      <c r="D22" s="14"/>
      <c r="E22" s="36" t="str">
        <f>IF(D22&gt;0,VLOOKUP(D22,Jumpers,2),"")</f>
        <v/>
      </c>
      <c r="F22" s="36" t="str">
        <f>IF(D22&gt;0,VLOOKUP(D22,Jumpers,3),"")</f>
        <v/>
      </c>
      <c r="G22" s="36" t="str">
        <f>IF(D22&lt;&gt;"",VLOOKUP(D22,Competitor!$A$4:$G$103,7,FALSE),"")</f>
        <v/>
      </c>
      <c r="I22" s="43">
        <v>18</v>
      </c>
      <c r="J22" s="43" t="s">
        <v>73</v>
      </c>
      <c r="K22" s="43" t="s">
        <v>123</v>
      </c>
      <c r="L22" s="14"/>
      <c r="M22" s="36" t="str">
        <f>IF(L22&gt;0,VLOOKUP(L22,Jumpers,2),"")</f>
        <v/>
      </c>
      <c r="N22" s="36" t="str">
        <f>IF(L22&gt;0,VLOOKUP(L22,Jumpers,3),"")</f>
        <v/>
      </c>
      <c r="O22" s="36" t="str">
        <f>IF(L22&lt;&gt;"",VLOOKUP(L22,Competitor!$A$4:$G$103,7,FALSE),"")</f>
        <v/>
      </c>
    </row>
    <row r="23" spans="1:15" x14ac:dyDescent="0.25">
      <c r="A23" s="43">
        <v>19</v>
      </c>
      <c r="B23" s="43" t="s">
        <v>72</v>
      </c>
      <c r="C23" s="43" t="s">
        <v>117</v>
      </c>
      <c r="D23" s="14"/>
      <c r="E23" s="36" t="str">
        <f>IF(D23&gt;0,VLOOKUP(D23,Jumpers,2),"")</f>
        <v/>
      </c>
      <c r="F23" s="36" t="str">
        <f>IF(D23&gt;0,VLOOKUP(D23,Jumpers,3),"")</f>
        <v/>
      </c>
      <c r="G23" s="36" t="str">
        <f>IF(D23&lt;&gt;"",VLOOKUP(D23,Competitor!$A$4:$G$103,7,FALSE),"")</f>
        <v/>
      </c>
      <c r="I23" s="43">
        <v>19</v>
      </c>
      <c r="J23" s="43" t="s">
        <v>73</v>
      </c>
      <c r="K23" s="43" t="s">
        <v>123</v>
      </c>
      <c r="L23" s="14"/>
      <c r="M23" s="36" t="str">
        <f>IF(L23&gt;0,VLOOKUP(L23,Jumpers,2),"")</f>
        <v/>
      </c>
      <c r="N23" s="36" t="str">
        <f>IF(L23&gt;0,VLOOKUP(L23,Jumpers,3),"")</f>
        <v/>
      </c>
      <c r="O23" s="36" t="str">
        <f>IF(L23&lt;&gt;"",VLOOKUP(L23,Competitor!$A$4:$G$103,7,FALSE),"")</f>
        <v/>
      </c>
    </row>
    <row r="24" spans="1:15" x14ac:dyDescent="0.25">
      <c r="A24" s="43">
        <v>20</v>
      </c>
      <c r="B24" s="43" t="s">
        <v>72</v>
      </c>
      <c r="C24" s="43" t="s">
        <v>117</v>
      </c>
      <c r="D24" s="14"/>
      <c r="E24" s="36" t="str">
        <f>IF(D24&gt;0,VLOOKUP(D24,Jumpers,2),"")</f>
        <v/>
      </c>
      <c r="F24" s="36" t="str">
        <f>IF(D24&gt;0,VLOOKUP(D24,Jumpers,3),"")</f>
        <v/>
      </c>
      <c r="G24" s="36" t="str">
        <f>IF(D24&lt;&gt;"",VLOOKUP(D24,Competitor!$A$4:$G$103,7,FALSE),"")</f>
        <v/>
      </c>
      <c r="I24" s="43">
        <v>20</v>
      </c>
      <c r="J24" s="43" t="s">
        <v>73</v>
      </c>
      <c r="K24" s="43" t="s">
        <v>123</v>
      </c>
      <c r="L24" s="14"/>
      <c r="M24" s="36" t="str">
        <f>IF(L24&gt;0,VLOOKUP(L24,Jumpers,2),"")</f>
        <v/>
      </c>
      <c r="N24" s="36" t="str">
        <f>IF(L24&gt;0,VLOOKUP(L24,Jumpers,3),"")</f>
        <v/>
      </c>
      <c r="O24" s="36" t="str">
        <f>IF(L24&lt;&gt;"",VLOOKUP(L24,Competitor!$A$4:$G$103,7,FALSE),"")</f>
        <v/>
      </c>
    </row>
  </sheetData>
  <sheetProtection password="CE88" sheet="1" objects="1" scenarios="1" selectLockedCells="1"/>
  <conditionalFormatting sqref="D5:D20">
    <cfRule type="expression" dxfId="50" priority="4" stopIfTrue="1">
      <formula>VLOOKUP(D5,Jumpers,7)&gt;=15</formula>
    </cfRule>
  </conditionalFormatting>
  <conditionalFormatting sqref="D21:D24">
    <cfRule type="expression" dxfId="49" priority="2" stopIfTrue="1">
      <formula>VLOOKUP(D21,Jumpers,7)&gt;=14</formula>
    </cfRule>
  </conditionalFormatting>
  <conditionalFormatting sqref="L5:L24">
    <cfRule type="expression" dxfId="48" priority="1">
      <formula>IF(AND(COUNT($L$5:$L$24)&gt;0,MAX($O$5:$O$24)&lt;15),TRUE,FALSE)</formula>
    </cfRule>
  </conditionalFormatting>
  <pageMargins left="0.25" right="0.25" top="0.75" bottom="0.75" header="0.3" footer="0.3"/>
  <pageSetup orientation="portrait"/>
  <headerFooter>
    <oddHeader>&amp;LAAU Regional Tournament&amp;R&amp;A</oddHeader>
    <oddFooter>&amp;RPage &amp;P of &amp;N</oddFooter>
  </headerFooter>
  <customProperties>
    <customPr name="DVSECTION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M42"/>
  <sheetViews>
    <sheetView workbookViewId="0">
      <selection activeCell="D7" sqref="D5:D7"/>
    </sheetView>
  </sheetViews>
  <sheetFormatPr defaultColWidth="8.85546875" defaultRowHeight="15" x14ac:dyDescent="0.25"/>
  <cols>
    <col min="1" max="1" width="2.7109375" customWidth="1"/>
    <col min="2" max="2" width="4.7109375" style="45" bestFit="1" customWidth="1"/>
    <col min="3" max="3" width="7.140625" style="45" bestFit="1" customWidth="1"/>
    <col min="4" max="4" width="8.28515625" bestFit="1" customWidth="1"/>
    <col min="5" max="6" width="18.7109375" customWidth="1"/>
    <col min="7" max="7" width="1.7109375" customWidth="1"/>
    <col min="8" max="8" width="2.7109375" bestFit="1" customWidth="1"/>
    <col min="9" max="9" width="4.7109375" style="45" bestFit="1" customWidth="1"/>
    <col min="10" max="10" width="6.28515625" style="45" bestFit="1" customWidth="1"/>
    <col min="11" max="11" width="8.28515625" bestFit="1" customWidth="1"/>
    <col min="12" max="13" width="18.7109375" customWidth="1"/>
    <col min="14" max="14" width="1.7109375" customWidth="1"/>
    <col min="15" max="15" width="2.7109375" customWidth="1"/>
    <col min="16" max="16" width="4.7109375" bestFit="1" customWidth="1"/>
    <col min="17" max="17" width="4.85546875" bestFit="1" customWidth="1"/>
    <col min="19" max="20" width="12.7109375" customWidth="1"/>
    <col min="21" max="21" width="1.7109375" customWidth="1"/>
    <col min="22" max="22" width="2.7109375" customWidth="1"/>
    <col min="23" max="23" width="4.7109375" bestFit="1" customWidth="1"/>
    <col min="24" max="24" width="4.85546875" bestFit="1" customWidth="1"/>
    <col min="26" max="27" width="12.7109375" customWidth="1"/>
  </cols>
  <sheetData>
    <row r="1" spans="1:13" ht="18.75" x14ac:dyDescent="0.25">
      <c r="A1" s="39" t="s">
        <v>108</v>
      </c>
      <c r="B1" s="44"/>
      <c r="C1" s="44"/>
      <c r="M1" s="34" t="str">
        <f>CONCATENATE("Team: ",'Team Info'!$B$3)</f>
        <v xml:space="preserve">Team: </v>
      </c>
    </row>
    <row r="2" spans="1:13" ht="36" customHeight="1" x14ac:dyDescent="0.25">
      <c r="A2" s="113" t="s">
        <v>82</v>
      </c>
      <c r="B2" s="114"/>
      <c r="C2" s="114"/>
      <c r="D2" s="114"/>
      <c r="E2" s="114"/>
      <c r="F2" s="114"/>
      <c r="G2" s="114"/>
      <c r="H2" s="114"/>
      <c r="I2" s="114"/>
      <c r="J2" s="114"/>
      <c r="K2" s="114"/>
      <c r="L2" s="114"/>
      <c r="M2" s="114"/>
    </row>
    <row r="3" spans="1:13" x14ac:dyDescent="0.25">
      <c r="A3" s="22" t="s">
        <v>70</v>
      </c>
      <c r="B3" s="46"/>
      <c r="C3" s="46"/>
      <c r="D3" s="22"/>
      <c r="E3" s="22"/>
      <c r="F3" s="22"/>
      <c r="H3" s="47" t="s">
        <v>55</v>
      </c>
      <c r="I3" s="46"/>
      <c r="J3" s="46"/>
      <c r="K3" s="22"/>
      <c r="L3" s="22"/>
      <c r="M3" s="22"/>
    </row>
    <row r="4" spans="1:13" ht="23.25" x14ac:dyDescent="0.25">
      <c r="A4" s="20" t="s">
        <v>0</v>
      </c>
      <c r="B4" s="20" t="s">
        <v>30</v>
      </c>
      <c r="C4" s="20" t="s">
        <v>31</v>
      </c>
      <c r="D4" s="42" t="s">
        <v>7</v>
      </c>
      <c r="E4" s="20" t="s">
        <v>2</v>
      </c>
      <c r="F4" s="20" t="s">
        <v>1</v>
      </c>
      <c r="H4" s="20" t="s">
        <v>0</v>
      </c>
      <c r="I4" s="20" t="s">
        <v>30</v>
      </c>
      <c r="J4" s="20" t="s">
        <v>31</v>
      </c>
      <c r="K4" s="42" t="s">
        <v>7</v>
      </c>
      <c r="L4" s="20" t="s">
        <v>2</v>
      </c>
      <c r="M4" s="20" t="s">
        <v>1</v>
      </c>
    </row>
    <row r="5" spans="1:13" x14ac:dyDescent="0.25">
      <c r="A5" s="43">
        <v>1</v>
      </c>
      <c r="B5" s="43" t="s">
        <v>88</v>
      </c>
      <c r="C5" s="43" t="s">
        <v>71</v>
      </c>
      <c r="D5" s="14"/>
      <c r="E5" s="29" t="str">
        <f t="shared" ref="E5:E12" si="0">IF(D5&gt;0,VLOOKUP(D5,Jumpers,3),"")</f>
        <v/>
      </c>
      <c r="F5" s="29" t="str">
        <f t="shared" ref="F5:F12" si="1">IF(D5&gt;0,VLOOKUP(D5,Jumpers,2),"")</f>
        <v/>
      </c>
      <c r="H5" s="43">
        <v>1</v>
      </c>
      <c r="I5" s="43" t="s">
        <v>88</v>
      </c>
      <c r="J5" s="48" t="s">
        <v>55</v>
      </c>
      <c r="K5" s="14"/>
      <c r="L5" s="29" t="str">
        <f t="shared" ref="L5:L12" si="2">IF(K5&gt;0,VLOOKUP(K5,Jumpers,3),"")</f>
        <v/>
      </c>
      <c r="M5" s="29" t="str">
        <f t="shared" ref="M5:M12" si="3">IF(K5&gt;0,VLOOKUP(K5,Jumpers,2),"")</f>
        <v/>
      </c>
    </row>
    <row r="6" spans="1:13" x14ac:dyDescent="0.25">
      <c r="A6" s="43">
        <v>2</v>
      </c>
      <c r="B6" s="43" t="s">
        <v>88</v>
      </c>
      <c r="C6" s="43" t="s">
        <v>71</v>
      </c>
      <c r="D6" s="14"/>
      <c r="E6" s="29" t="str">
        <f t="shared" si="0"/>
        <v/>
      </c>
      <c r="F6" s="29" t="str">
        <f t="shared" si="1"/>
        <v/>
      </c>
      <c r="H6" s="43">
        <v>2</v>
      </c>
      <c r="I6" s="43" t="s">
        <v>88</v>
      </c>
      <c r="J6" s="48" t="s">
        <v>55</v>
      </c>
      <c r="K6" s="14"/>
      <c r="L6" s="29" t="str">
        <f t="shared" si="2"/>
        <v/>
      </c>
      <c r="M6" s="29" t="str">
        <f t="shared" si="3"/>
        <v/>
      </c>
    </row>
    <row r="7" spans="1:13" x14ac:dyDescent="0.25">
      <c r="A7" s="43">
        <v>3</v>
      </c>
      <c r="B7" s="43" t="s">
        <v>88</v>
      </c>
      <c r="C7" s="43" t="s">
        <v>71</v>
      </c>
      <c r="D7" s="14"/>
      <c r="E7" s="29" t="str">
        <f t="shared" si="0"/>
        <v/>
      </c>
      <c r="F7" s="29" t="str">
        <f t="shared" si="1"/>
        <v/>
      </c>
      <c r="H7" s="43">
        <v>3</v>
      </c>
      <c r="I7" s="43" t="s">
        <v>88</v>
      </c>
      <c r="J7" s="48" t="s">
        <v>55</v>
      </c>
      <c r="K7" s="14"/>
      <c r="L7" s="29" t="str">
        <f t="shared" si="2"/>
        <v/>
      </c>
      <c r="M7" s="29" t="str">
        <f t="shared" si="3"/>
        <v/>
      </c>
    </row>
    <row r="8" spans="1:13" x14ac:dyDescent="0.25">
      <c r="A8" s="43">
        <v>4</v>
      </c>
      <c r="B8" s="43" t="s">
        <v>88</v>
      </c>
      <c r="C8" s="43" t="s">
        <v>71</v>
      </c>
      <c r="D8" s="14"/>
      <c r="E8" s="29" t="str">
        <f t="shared" si="0"/>
        <v/>
      </c>
      <c r="F8" s="29" t="str">
        <f t="shared" si="1"/>
        <v/>
      </c>
      <c r="H8" s="43">
        <v>4</v>
      </c>
      <c r="I8" s="43" t="s">
        <v>88</v>
      </c>
      <c r="J8" s="48" t="s">
        <v>55</v>
      </c>
      <c r="K8" s="14"/>
      <c r="L8" s="29" t="str">
        <f t="shared" si="2"/>
        <v/>
      </c>
      <c r="M8" s="29" t="str">
        <f t="shared" si="3"/>
        <v/>
      </c>
    </row>
    <row r="9" spans="1:13" x14ac:dyDescent="0.25">
      <c r="A9" s="43">
        <v>5</v>
      </c>
      <c r="B9" s="43" t="s">
        <v>88</v>
      </c>
      <c r="C9" s="43" t="s">
        <v>71</v>
      </c>
      <c r="D9" s="14"/>
      <c r="E9" s="29" t="str">
        <f t="shared" si="0"/>
        <v/>
      </c>
      <c r="F9" s="29" t="str">
        <f t="shared" si="1"/>
        <v/>
      </c>
      <c r="H9" s="43">
        <v>5</v>
      </c>
      <c r="I9" s="43" t="s">
        <v>88</v>
      </c>
      <c r="J9" s="48" t="s">
        <v>55</v>
      </c>
      <c r="K9" s="14"/>
      <c r="L9" s="29" t="str">
        <f t="shared" si="2"/>
        <v/>
      </c>
      <c r="M9" s="29" t="str">
        <f t="shared" si="3"/>
        <v/>
      </c>
    </row>
    <row r="10" spans="1:13" x14ac:dyDescent="0.25">
      <c r="A10" s="43">
        <v>6</v>
      </c>
      <c r="B10" s="43" t="s">
        <v>88</v>
      </c>
      <c r="C10" s="43" t="s">
        <v>71</v>
      </c>
      <c r="D10" s="14"/>
      <c r="E10" s="29" t="str">
        <f t="shared" si="0"/>
        <v/>
      </c>
      <c r="F10" s="29" t="str">
        <f t="shared" si="1"/>
        <v/>
      </c>
      <c r="H10" s="43">
        <v>6</v>
      </c>
      <c r="I10" s="43" t="s">
        <v>88</v>
      </c>
      <c r="J10" s="48" t="s">
        <v>55</v>
      </c>
      <c r="K10" s="14"/>
      <c r="L10" s="29" t="str">
        <f t="shared" si="2"/>
        <v/>
      </c>
      <c r="M10" s="29" t="str">
        <f t="shared" si="3"/>
        <v/>
      </c>
    </row>
    <row r="11" spans="1:13" x14ac:dyDescent="0.25">
      <c r="A11" s="43">
        <v>7</v>
      </c>
      <c r="B11" s="43" t="s">
        <v>88</v>
      </c>
      <c r="C11" s="43" t="s">
        <v>71</v>
      </c>
      <c r="D11" s="14"/>
      <c r="E11" s="29" t="str">
        <f t="shared" si="0"/>
        <v/>
      </c>
      <c r="F11" s="29" t="str">
        <f t="shared" si="1"/>
        <v/>
      </c>
      <c r="H11" s="43">
        <v>7</v>
      </c>
      <c r="I11" s="43" t="s">
        <v>88</v>
      </c>
      <c r="J11" s="48" t="s">
        <v>55</v>
      </c>
      <c r="K11" s="14"/>
      <c r="L11" s="29" t="str">
        <f t="shared" si="2"/>
        <v/>
      </c>
      <c r="M11" s="29" t="str">
        <f t="shared" si="3"/>
        <v/>
      </c>
    </row>
    <row r="12" spans="1:13" x14ac:dyDescent="0.25">
      <c r="A12" s="43">
        <v>8</v>
      </c>
      <c r="B12" s="43" t="s">
        <v>88</v>
      </c>
      <c r="C12" s="43" t="s">
        <v>71</v>
      </c>
      <c r="D12" s="14"/>
      <c r="E12" s="29" t="str">
        <f t="shared" si="0"/>
        <v/>
      </c>
      <c r="F12" s="29" t="str">
        <f t="shared" si="1"/>
        <v/>
      </c>
      <c r="H12" s="43">
        <v>8</v>
      </c>
      <c r="I12" s="43" t="s">
        <v>88</v>
      </c>
      <c r="J12" s="48" t="s">
        <v>55</v>
      </c>
      <c r="K12" s="14"/>
      <c r="L12" s="29" t="str">
        <f t="shared" si="2"/>
        <v/>
      </c>
      <c r="M12" s="29" t="str">
        <f t="shared" si="3"/>
        <v/>
      </c>
    </row>
    <row r="13" spans="1:13" x14ac:dyDescent="0.25">
      <c r="A13" s="49" t="s">
        <v>26</v>
      </c>
      <c r="B13" s="46"/>
      <c r="C13" s="46"/>
      <c r="D13" s="22"/>
      <c r="E13" s="22"/>
      <c r="F13" s="22"/>
      <c r="H13" s="22" t="s">
        <v>27</v>
      </c>
      <c r="I13" s="46"/>
      <c r="J13" s="46"/>
      <c r="K13" s="22"/>
      <c r="L13" s="22"/>
      <c r="M13" s="22"/>
    </row>
    <row r="14" spans="1:13" ht="23.25" x14ac:dyDescent="0.25">
      <c r="A14" s="20" t="s">
        <v>0</v>
      </c>
      <c r="B14" s="20" t="s">
        <v>30</v>
      </c>
      <c r="C14" s="20" t="s">
        <v>31</v>
      </c>
      <c r="D14" s="42" t="s">
        <v>7</v>
      </c>
      <c r="E14" s="20" t="s">
        <v>2</v>
      </c>
      <c r="F14" s="20" t="s">
        <v>1</v>
      </c>
      <c r="H14" s="20" t="s">
        <v>0</v>
      </c>
      <c r="I14" s="20" t="s">
        <v>30</v>
      </c>
      <c r="J14" s="20" t="s">
        <v>31</v>
      </c>
      <c r="K14" s="42" t="s">
        <v>7</v>
      </c>
      <c r="L14" s="20" t="s">
        <v>2</v>
      </c>
      <c r="M14" s="20" t="s">
        <v>1</v>
      </c>
    </row>
    <row r="15" spans="1:13" x14ac:dyDescent="0.25">
      <c r="A15" s="43">
        <v>1</v>
      </c>
      <c r="B15" s="43" t="s">
        <v>88</v>
      </c>
      <c r="C15" s="48" t="s">
        <v>26</v>
      </c>
      <c r="D15" s="14"/>
      <c r="E15" s="29" t="str">
        <f t="shared" ref="E15:E22" si="4">IF(D15&gt;0,VLOOKUP(D15,Jumpers,3),"")</f>
        <v/>
      </c>
      <c r="F15" s="29" t="str">
        <f t="shared" ref="F15:F22" si="5">IF(D15&gt;0,VLOOKUP(D15,Jumpers,2),"")</f>
        <v/>
      </c>
      <c r="H15" s="43">
        <v>1</v>
      </c>
      <c r="I15" s="43" t="s">
        <v>88</v>
      </c>
      <c r="J15" s="43" t="s">
        <v>27</v>
      </c>
      <c r="K15" s="14"/>
      <c r="L15" s="29" t="str">
        <f t="shared" ref="L15:L22" si="6">IF(K15&gt;0,VLOOKUP(K15,Jumpers,3),"")</f>
        <v/>
      </c>
      <c r="M15" s="29" t="str">
        <f t="shared" ref="M15:M22" si="7">IF(K15&gt;0,VLOOKUP(K15,Jumpers,2),"")</f>
        <v/>
      </c>
    </row>
    <row r="16" spans="1:13" x14ac:dyDescent="0.25">
      <c r="A16" s="43">
        <v>2</v>
      </c>
      <c r="B16" s="43" t="s">
        <v>88</v>
      </c>
      <c r="C16" s="48" t="s">
        <v>26</v>
      </c>
      <c r="D16" s="14"/>
      <c r="E16" s="29" t="str">
        <f t="shared" si="4"/>
        <v/>
      </c>
      <c r="F16" s="29" t="str">
        <f t="shared" si="5"/>
        <v/>
      </c>
      <c r="H16" s="43">
        <v>2</v>
      </c>
      <c r="I16" s="43" t="s">
        <v>88</v>
      </c>
      <c r="J16" s="43" t="s">
        <v>27</v>
      </c>
      <c r="K16" s="14"/>
      <c r="L16" s="29" t="str">
        <f t="shared" si="6"/>
        <v/>
      </c>
      <c r="M16" s="29" t="str">
        <f t="shared" si="7"/>
        <v/>
      </c>
    </row>
    <row r="17" spans="1:13" x14ac:dyDescent="0.25">
      <c r="A17" s="43">
        <v>3</v>
      </c>
      <c r="B17" s="43" t="s">
        <v>88</v>
      </c>
      <c r="C17" s="48" t="s">
        <v>26</v>
      </c>
      <c r="D17" s="14"/>
      <c r="E17" s="29" t="str">
        <f t="shared" si="4"/>
        <v/>
      </c>
      <c r="F17" s="29" t="str">
        <f t="shared" si="5"/>
        <v/>
      </c>
      <c r="H17" s="43">
        <v>3</v>
      </c>
      <c r="I17" s="43" t="s">
        <v>88</v>
      </c>
      <c r="J17" s="43" t="s">
        <v>27</v>
      </c>
      <c r="K17" s="14"/>
      <c r="L17" s="29" t="str">
        <f t="shared" si="6"/>
        <v/>
      </c>
      <c r="M17" s="29" t="str">
        <f t="shared" si="7"/>
        <v/>
      </c>
    </row>
    <row r="18" spans="1:13" x14ac:dyDescent="0.25">
      <c r="A18" s="43">
        <v>4</v>
      </c>
      <c r="B18" s="43" t="s">
        <v>88</v>
      </c>
      <c r="C18" s="48" t="s">
        <v>26</v>
      </c>
      <c r="D18" s="14"/>
      <c r="E18" s="29" t="str">
        <f t="shared" si="4"/>
        <v/>
      </c>
      <c r="F18" s="29" t="str">
        <f t="shared" si="5"/>
        <v/>
      </c>
      <c r="H18" s="43">
        <v>4</v>
      </c>
      <c r="I18" s="43" t="s">
        <v>88</v>
      </c>
      <c r="J18" s="43" t="s">
        <v>27</v>
      </c>
      <c r="K18" s="14"/>
      <c r="L18" s="29" t="str">
        <f t="shared" si="6"/>
        <v/>
      </c>
      <c r="M18" s="29" t="str">
        <f t="shared" si="7"/>
        <v/>
      </c>
    </row>
    <row r="19" spans="1:13" x14ac:dyDescent="0.25">
      <c r="A19" s="43">
        <v>5</v>
      </c>
      <c r="B19" s="43" t="s">
        <v>88</v>
      </c>
      <c r="C19" s="48" t="s">
        <v>26</v>
      </c>
      <c r="D19" s="14"/>
      <c r="E19" s="29" t="str">
        <f t="shared" si="4"/>
        <v/>
      </c>
      <c r="F19" s="29" t="str">
        <f t="shared" si="5"/>
        <v/>
      </c>
      <c r="H19" s="43">
        <v>5</v>
      </c>
      <c r="I19" s="43" t="s">
        <v>88</v>
      </c>
      <c r="J19" s="43" t="s">
        <v>27</v>
      </c>
      <c r="K19" s="14"/>
      <c r="L19" s="29" t="str">
        <f t="shared" si="6"/>
        <v/>
      </c>
      <c r="M19" s="29" t="str">
        <f t="shared" si="7"/>
        <v/>
      </c>
    </row>
    <row r="20" spans="1:13" x14ac:dyDescent="0.25">
      <c r="A20" s="43">
        <v>6</v>
      </c>
      <c r="B20" s="43" t="s">
        <v>88</v>
      </c>
      <c r="C20" s="48" t="s">
        <v>26</v>
      </c>
      <c r="D20" s="14"/>
      <c r="E20" s="29" t="str">
        <f t="shared" si="4"/>
        <v/>
      </c>
      <c r="F20" s="29" t="str">
        <f t="shared" si="5"/>
        <v/>
      </c>
      <c r="H20" s="43">
        <v>6</v>
      </c>
      <c r="I20" s="43" t="s">
        <v>88</v>
      </c>
      <c r="J20" s="43" t="s">
        <v>27</v>
      </c>
      <c r="K20" s="14"/>
      <c r="L20" s="29" t="str">
        <f t="shared" si="6"/>
        <v/>
      </c>
      <c r="M20" s="29" t="str">
        <f t="shared" si="7"/>
        <v/>
      </c>
    </row>
    <row r="21" spans="1:13" x14ac:dyDescent="0.25">
      <c r="A21" s="43">
        <v>7</v>
      </c>
      <c r="B21" s="43" t="s">
        <v>88</v>
      </c>
      <c r="C21" s="48" t="s">
        <v>26</v>
      </c>
      <c r="D21" s="14"/>
      <c r="E21" s="29" t="str">
        <f t="shared" si="4"/>
        <v/>
      </c>
      <c r="F21" s="29" t="str">
        <f t="shared" si="5"/>
        <v/>
      </c>
      <c r="H21" s="43">
        <v>7</v>
      </c>
      <c r="I21" s="43" t="s">
        <v>88</v>
      </c>
      <c r="J21" s="43" t="s">
        <v>27</v>
      </c>
      <c r="K21" s="14"/>
      <c r="L21" s="29" t="str">
        <f t="shared" si="6"/>
        <v/>
      </c>
      <c r="M21" s="29" t="str">
        <f t="shared" si="7"/>
        <v/>
      </c>
    </row>
    <row r="22" spans="1:13" x14ac:dyDescent="0.25">
      <c r="A22" s="43">
        <v>8</v>
      </c>
      <c r="B22" s="43" t="s">
        <v>88</v>
      </c>
      <c r="C22" s="48" t="s">
        <v>26</v>
      </c>
      <c r="D22" s="14"/>
      <c r="E22" s="29" t="str">
        <f t="shared" si="4"/>
        <v/>
      </c>
      <c r="F22" s="29" t="str">
        <f t="shared" si="5"/>
        <v/>
      </c>
      <c r="H22" s="43">
        <v>8</v>
      </c>
      <c r="I22" s="43" t="s">
        <v>88</v>
      </c>
      <c r="J22" s="43" t="s">
        <v>27</v>
      </c>
      <c r="K22" s="14"/>
      <c r="L22" s="29" t="str">
        <f t="shared" si="6"/>
        <v/>
      </c>
      <c r="M22" s="29" t="str">
        <f t="shared" si="7"/>
        <v/>
      </c>
    </row>
    <row r="23" spans="1:13" x14ac:dyDescent="0.25">
      <c r="A23" s="22" t="s">
        <v>119</v>
      </c>
      <c r="B23" s="46"/>
      <c r="C23" s="46"/>
      <c r="D23" s="22"/>
      <c r="E23" s="22"/>
      <c r="F23" s="22"/>
      <c r="H23" s="22" t="s">
        <v>120</v>
      </c>
      <c r="I23" s="46"/>
      <c r="J23" s="46"/>
      <c r="K23" s="22"/>
      <c r="L23" s="22"/>
      <c r="M23" s="22"/>
    </row>
    <row r="24" spans="1:13" ht="23.25" x14ac:dyDescent="0.25">
      <c r="A24" s="20" t="s">
        <v>0</v>
      </c>
      <c r="B24" s="20" t="s">
        <v>30</v>
      </c>
      <c r="C24" s="20" t="s">
        <v>31</v>
      </c>
      <c r="D24" s="42" t="s">
        <v>7</v>
      </c>
      <c r="E24" s="20" t="s">
        <v>2</v>
      </c>
      <c r="F24" s="20" t="s">
        <v>1</v>
      </c>
      <c r="H24" s="20" t="s">
        <v>0</v>
      </c>
      <c r="I24" s="20" t="s">
        <v>30</v>
      </c>
      <c r="J24" s="20" t="s">
        <v>31</v>
      </c>
      <c r="K24" s="42" t="s">
        <v>7</v>
      </c>
      <c r="L24" s="20" t="s">
        <v>2</v>
      </c>
      <c r="M24" s="20" t="s">
        <v>1</v>
      </c>
    </row>
    <row r="25" spans="1:13" x14ac:dyDescent="0.25">
      <c r="A25" s="28">
        <v>1</v>
      </c>
      <c r="B25" s="43" t="s">
        <v>88</v>
      </c>
      <c r="C25" s="43" t="s">
        <v>119</v>
      </c>
      <c r="D25" s="14"/>
      <c r="E25" s="29" t="str">
        <f t="shared" ref="E25:E32" si="8">IF(D25&gt;0,VLOOKUP(D25,Jumpers,3),"")</f>
        <v/>
      </c>
      <c r="F25" s="29" t="str">
        <f t="shared" ref="F25:F32" si="9">IF(D25&gt;0,VLOOKUP(D25,Jumpers,2),"")</f>
        <v/>
      </c>
      <c r="H25" s="28">
        <v>1</v>
      </c>
      <c r="I25" s="43" t="s">
        <v>88</v>
      </c>
      <c r="J25" s="43" t="s">
        <v>120</v>
      </c>
      <c r="K25" s="14"/>
      <c r="L25" s="29" t="str">
        <f t="shared" ref="L25:L32" si="10">IF(K25&gt;0,VLOOKUP(K25,Jumpers,3),"")</f>
        <v/>
      </c>
      <c r="M25" s="29" t="str">
        <f t="shared" ref="M25:M32" si="11">IF(K25&gt;0,VLOOKUP(K25,Jumpers,2),"")</f>
        <v/>
      </c>
    </row>
    <row r="26" spans="1:13" x14ac:dyDescent="0.25">
      <c r="A26" s="28">
        <v>2</v>
      </c>
      <c r="B26" s="43" t="s">
        <v>88</v>
      </c>
      <c r="C26" s="43" t="s">
        <v>119</v>
      </c>
      <c r="D26" s="14"/>
      <c r="E26" s="29" t="str">
        <f t="shared" si="8"/>
        <v/>
      </c>
      <c r="F26" s="29" t="str">
        <f t="shared" si="9"/>
        <v/>
      </c>
      <c r="H26" s="28">
        <v>2</v>
      </c>
      <c r="I26" s="43" t="s">
        <v>88</v>
      </c>
      <c r="J26" s="43" t="s">
        <v>120</v>
      </c>
      <c r="K26" s="14"/>
      <c r="L26" s="29" t="str">
        <f t="shared" si="10"/>
        <v/>
      </c>
      <c r="M26" s="29" t="str">
        <f t="shared" si="11"/>
        <v/>
      </c>
    </row>
    <row r="27" spans="1:13" x14ac:dyDescent="0.25">
      <c r="A27" s="28">
        <v>3</v>
      </c>
      <c r="B27" s="43" t="s">
        <v>88</v>
      </c>
      <c r="C27" s="43" t="s">
        <v>119</v>
      </c>
      <c r="D27" s="14"/>
      <c r="E27" s="29" t="str">
        <f t="shared" si="8"/>
        <v/>
      </c>
      <c r="F27" s="29" t="str">
        <f t="shared" si="9"/>
        <v/>
      </c>
      <c r="H27" s="28">
        <v>3</v>
      </c>
      <c r="I27" s="43" t="s">
        <v>88</v>
      </c>
      <c r="J27" s="43" t="s">
        <v>120</v>
      </c>
      <c r="K27" s="14"/>
      <c r="L27" s="29" t="str">
        <f t="shared" si="10"/>
        <v/>
      </c>
      <c r="M27" s="29" t="str">
        <f t="shared" si="11"/>
        <v/>
      </c>
    </row>
    <row r="28" spans="1:13" x14ac:dyDescent="0.25">
      <c r="A28" s="28">
        <v>4</v>
      </c>
      <c r="B28" s="43" t="s">
        <v>88</v>
      </c>
      <c r="C28" s="43" t="s">
        <v>119</v>
      </c>
      <c r="D28" s="14"/>
      <c r="E28" s="29" t="str">
        <f t="shared" si="8"/>
        <v/>
      </c>
      <c r="F28" s="29" t="str">
        <f t="shared" si="9"/>
        <v/>
      </c>
      <c r="H28" s="28">
        <v>4</v>
      </c>
      <c r="I28" s="43" t="s">
        <v>88</v>
      </c>
      <c r="J28" s="43" t="s">
        <v>120</v>
      </c>
      <c r="K28" s="14"/>
      <c r="L28" s="29" t="str">
        <f t="shared" si="10"/>
        <v/>
      </c>
      <c r="M28" s="29" t="str">
        <f t="shared" si="11"/>
        <v/>
      </c>
    </row>
    <row r="29" spans="1:13" x14ac:dyDescent="0.25">
      <c r="A29" s="28">
        <v>5</v>
      </c>
      <c r="B29" s="43" t="s">
        <v>88</v>
      </c>
      <c r="C29" s="43" t="s">
        <v>119</v>
      </c>
      <c r="D29" s="14"/>
      <c r="E29" s="29" t="str">
        <f t="shared" si="8"/>
        <v/>
      </c>
      <c r="F29" s="29" t="str">
        <f t="shared" si="9"/>
        <v/>
      </c>
      <c r="H29" s="28">
        <v>5</v>
      </c>
      <c r="I29" s="43" t="s">
        <v>88</v>
      </c>
      <c r="J29" s="43" t="s">
        <v>120</v>
      </c>
      <c r="K29" s="14"/>
      <c r="L29" s="29" t="str">
        <f t="shared" si="10"/>
        <v/>
      </c>
      <c r="M29" s="29" t="str">
        <f t="shared" si="11"/>
        <v/>
      </c>
    </row>
    <row r="30" spans="1:13" x14ac:dyDescent="0.25">
      <c r="A30" s="28">
        <v>6</v>
      </c>
      <c r="B30" s="43" t="s">
        <v>88</v>
      </c>
      <c r="C30" s="43" t="s">
        <v>119</v>
      </c>
      <c r="D30" s="14"/>
      <c r="E30" s="29" t="str">
        <f t="shared" si="8"/>
        <v/>
      </c>
      <c r="F30" s="29" t="str">
        <f t="shared" si="9"/>
        <v/>
      </c>
      <c r="H30" s="28">
        <v>6</v>
      </c>
      <c r="I30" s="43" t="s">
        <v>88</v>
      </c>
      <c r="J30" s="43" t="s">
        <v>120</v>
      </c>
      <c r="K30" s="14"/>
      <c r="L30" s="29" t="str">
        <f t="shared" si="10"/>
        <v/>
      </c>
      <c r="M30" s="29" t="str">
        <f t="shared" si="11"/>
        <v/>
      </c>
    </row>
    <row r="31" spans="1:13" x14ac:dyDescent="0.25">
      <c r="A31" s="28">
        <v>7</v>
      </c>
      <c r="B31" s="43" t="s">
        <v>88</v>
      </c>
      <c r="C31" s="43" t="s">
        <v>119</v>
      </c>
      <c r="D31" s="14"/>
      <c r="E31" s="29" t="str">
        <f t="shared" si="8"/>
        <v/>
      </c>
      <c r="F31" s="29" t="str">
        <f t="shared" si="9"/>
        <v/>
      </c>
      <c r="H31" s="28">
        <v>7</v>
      </c>
      <c r="I31" s="43" t="s">
        <v>88</v>
      </c>
      <c r="J31" s="43" t="s">
        <v>120</v>
      </c>
      <c r="K31" s="14"/>
      <c r="L31" s="29" t="str">
        <f t="shared" si="10"/>
        <v/>
      </c>
      <c r="M31" s="29" t="str">
        <f t="shared" si="11"/>
        <v/>
      </c>
    </row>
    <row r="32" spans="1:13" x14ac:dyDescent="0.25">
      <c r="A32" s="28">
        <v>8</v>
      </c>
      <c r="B32" s="43" t="s">
        <v>88</v>
      </c>
      <c r="C32" s="43" t="s">
        <v>119</v>
      </c>
      <c r="D32" s="14"/>
      <c r="E32" s="29" t="str">
        <f t="shared" si="8"/>
        <v/>
      </c>
      <c r="F32" s="29" t="str">
        <f t="shared" si="9"/>
        <v/>
      </c>
      <c r="H32" s="28">
        <v>8</v>
      </c>
      <c r="I32" s="43" t="s">
        <v>88</v>
      </c>
      <c r="J32" s="43" t="s">
        <v>120</v>
      </c>
      <c r="K32" s="14"/>
      <c r="L32" s="29" t="str">
        <f t="shared" si="10"/>
        <v/>
      </c>
      <c r="M32" s="29" t="str">
        <f t="shared" si="11"/>
        <v/>
      </c>
    </row>
    <row r="33" spans="1:6" x14ac:dyDescent="0.25">
      <c r="A33" s="22" t="s">
        <v>121</v>
      </c>
      <c r="B33" s="46"/>
      <c r="C33" s="46"/>
      <c r="D33" s="22"/>
      <c r="E33" s="22"/>
      <c r="F33" s="22"/>
    </row>
    <row r="34" spans="1:6" ht="23.25" x14ac:dyDescent="0.25">
      <c r="A34" s="20" t="s">
        <v>0</v>
      </c>
      <c r="B34" s="20" t="s">
        <v>30</v>
      </c>
      <c r="C34" s="20" t="s">
        <v>31</v>
      </c>
      <c r="D34" s="42" t="s">
        <v>7</v>
      </c>
      <c r="E34" s="20" t="s">
        <v>2</v>
      </c>
      <c r="F34" s="20" t="s">
        <v>1</v>
      </c>
    </row>
    <row r="35" spans="1:6" x14ac:dyDescent="0.25">
      <c r="A35" s="28">
        <v>1</v>
      </c>
      <c r="B35" s="43" t="s">
        <v>88</v>
      </c>
      <c r="C35" s="43" t="s">
        <v>121</v>
      </c>
      <c r="D35" s="14"/>
      <c r="E35" s="29" t="str">
        <f t="shared" ref="E35:E42" si="12">IF(D35&gt;0,VLOOKUP(D35,Jumpers,3),"")</f>
        <v/>
      </c>
      <c r="F35" s="29" t="str">
        <f t="shared" ref="F35:F42" si="13">IF(D35&gt;0,VLOOKUP(D35,Jumpers,2),"")</f>
        <v/>
      </c>
    </row>
    <row r="36" spans="1:6" x14ac:dyDescent="0.25">
      <c r="A36" s="28">
        <v>2</v>
      </c>
      <c r="B36" s="43" t="s">
        <v>88</v>
      </c>
      <c r="C36" s="43" t="s">
        <v>121</v>
      </c>
      <c r="D36" s="14"/>
      <c r="E36" s="29" t="str">
        <f t="shared" si="12"/>
        <v/>
      </c>
      <c r="F36" s="29" t="str">
        <f t="shared" si="13"/>
        <v/>
      </c>
    </row>
    <row r="37" spans="1:6" x14ac:dyDescent="0.25">
      <c r="A37" s="28">
        <v>3</v>
      </c>
      <c r="B37" s="43" t="s">
        <v>88</v>
      </c>
      <c r="C37" s="43" t="s">
        <v>121</v>
      </c>
      <c r="D37" s="14"/>
      <c r="E37" s="29" t="str">
        <f t="shared" si="12"/>
        <v/>
      </c>
      <c r="F37" s="29" t="str">
        <f t="shared" si="13"/>
        <v/>
      </c>
    </row>
    <row r="38" spans="1:6" x14ac:dyDescent="0.25">
      <c r="A38" s="28">
        <v>4</v>
      </c>
      <c r="B38" s="43" t="s">
        <v>88</v>
      </c>
      <c r="C38" s="43" t="s">
        <v>121</v>
      </c>
      <c r="D38" s="14"/>
      <c r="E38" s="29" t="str">
        <f t="shared" si="12"/>
        <v/>
      </c>
      <c r="F38" s="29" t="str">
        <f t="shared" si="13"/>
        <v/>
      </c>
    </row>
    <row r="39" spans="1:6" x14ac:dyDescent="0.25">
      <c r="A39" s="28">
        <v>5</v>
      </c>
      <c r="B39" s="43" t="s">
        <v>88</v>
      </c>
      <c r="C39" s="43" t="s">
        <v>121</v>
      </c>
      <c r="D39" s="14"/>
      <c r="E39" s="29" t="str">
        <f t="shared" si="12"/>
        <v/>
      </c>
      <c r="F39" s="29" t="str">
        <f t="shared" si="13"/>
        <v/>
      </c>
    </row>
    <row r="40" spans="1:6" x14ac:dyDescent="0.25">
      <c r="A40" s="28">
        <v>6</v>
      </c>
      <c r="B40" s="43" t="s">
        <v>88</v>
      </c>
      <c r="C40" s="43" t="s">
        <v>121</v>
      </c>
      <c r="D40" s="14"/>
      <c r="E40" s="29" t="str">
        <f t="shared" si="12"/>
        <v/>
      </c>
      <c r="F40" s="29" t="str">
        <f t="shared" si="13"/>
        <v/>
      </c>
    </row>
    <row r="41" spans="1:6" x14ac:dyDescent="0.25">
      <c r="A41" s="28">
        <v>7</v>
      </c>
      <c r="B41" s="43" t="s">
        <v>88</v>
      </c>
      <c r="C41" s="43" t="s">
        <v>121</v>
      </c>
      <c r="D41" s="14"/>
      <c r="E41" s="29" t="str">
        <f t="shared" si="12"/>
        <v/>
      </c>
      <c r="F41" s="29" t="str">
        <f t="shared" si="13"/>
        <v/>
      </c>
    </row>
    <row r="42" spans="1:6" x14ac:dyDescent="0.25">
      <c r="A42" s="28">
        <v>8</v>
      </c>
      <c r="B42" s="43" t="s">
        <v>88</v>
      </c>
      <c r="C42" s="43" t="s">
        <v>121</v>
      </c>
      <c r="D42" s="14"/>
      <c r="E42" s="29" t="str">
        <f t="shared" si="12"/>
        <v/>
      </c>
      <c r="F42" s="29" t="str">
        <f t="shared" si="13"/>
        <v/>
      </c>
    </row>
  </sheetData>
  <sheetProtection password="CE88" sheet="1" objects="1" scenarios="1" selectLockedCells="1"/>
  <mergeCells count="1">
    <mergeCell ref="A2:M2"/>
  </mergeCells>
  <conditionalFormatting sqref="D5:D12 K5:K12 D15:D22 K15:K22 D25:D32 K25:K32 D35:D42">
    <cfRule type="expression" dxfId="47" priority="5" stopIfTrue="1">
      <formula>AND(D5&lt;&gt;"",COUNTIF($D$5:$D$77,D5)+COUNTIF($K$5:$K$77,D5)&gt;1)</formula>
    </cfRule>
    <cfRule type="expression" dxfId="46" priority="6" stopIfTrue="1">
      <formula>OR(CODE(D5)&lt;48,CODE(D5)&gt;57)</formula>
    </cfRule>
    <cfRule type="expression" dxfId="45" priority="36" stopIfTrue="1">
      <formula>VLOOKUP(D5,Jumpers,5)&lt;&gt;LEFT($A$1,1)</formula>
    </cfRule>
    <cfRule type="expression" dxfId="44" priority="37" stopIfTrue="1">
      <formula>VLOOKUP(D5,Jumpers,8)&lt;&gt;C5</formula>
    </cfRule>
  </conditionalFormatting>
  <conditionalFormatting sqref="D5:D12">
    <cfRule type="expression" dxfId="43" priority="7" stopIfTrue="1">
      <formula>VLOOKUP(D5,Jumpers,7)&gt;8</formula>
    </cfRule>
  </conditionalFormatting>
  <pageMargins left="0.25" right="0.25" top="0.75" bottom="0.75" header="0.3" footer="0.3"/>
  <pageSetup orientation="portrait" r:id="rId1"/>
  <headerFooter>
    <oddHeader>&amp;LAAU Regional Tournament&amp;R&amp;A</oddHeader>
    <oddFooter>&amp;RPage &amp;P of &amp;N</oddFooter>
  </headerFooter>
  <customProperties>
    <customPr name="DVSECTION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M102"/>
  <sheetViews>
    <sheetView workbookViewId="0">
      <selection activeCell="K26" sqref="K26"/>
    </sheetView>
  </sheetViews>
  <sheetFormatPr defaultColWidth="8.85546875" defaultRowHeight="15" x14ac:dyDescent="0.25"/>
  <cols>
    <col min="1" max="1" width="4.7109375" customWidth="1"/>
    <col min="2" max="2" width="4.7109375" style="45" bestFit="1" customWidth="1"/>
    <col min="3" max="3" width="7.140625" style="45" bestFit="1" customWidth="1"/>
    <col min="4" max="4" width="8.28515625" bestFit="1" customWidth="1"/>
    <col min="5" max="6" width="18.7109375" customWidth="1"/>
    <col min="7" max="7" width="1.7109375" customWidth="1"/>
    <col min="8" max="8" width="3.85546875" customWidth="1"/>
    <col min="9" max="9" width="4.7109375" style="45" bestFit="1" customWidth="1"/>
    <col min="10" max="10" width="6.28515625" style="45" bestFit="1" customWidth="1"/>
    <col min="11" max="11" width="8.28515625" bestFit="1" customWidth="1"/>
    <col min="12" max="13" width="18.7109375" customWidth="1"/>
    <col min="14" max="14" width="1.7109375" customWidth="1"/>
    <col min="15" max="15" width="2.7109375" customWidth="1"/>
    <col min="16" max="16" width="4.7109375" bestFit="1" customWidth="1"/>
    <col min="17" max="17" width="4.85546875" bestFit="1" customWidth="1"/>
    <col min="19" max="20" width="12.7109375" customWidth="1"/>
    <col min="21" max="21" width="1.7109375" customWidth="1"/>
    <col min="22" max="22" width="2.7109375" customWidth="1"/>
    <col min="23" max="23" width="4.7109375" bestFit="1" customWidth="1"/>
    <col min="24" max="24" width="4.85546875" bestFit="1" customWidth="1"/>
    <col min="26" max="27" width="12.7109375" customWidth="1"/>
  </cols>
  <sheetData>
    <row r="1" spans="1:13" ht="18.75" x14ac:dyDescent="0.25">
      <c r="A1" s="39" t="s">
        <v>109</v>
      </c>
      <c r="B1" s="44"/>
      <c r="C1" s="44"/>
      <c r="M1" s="34" t="str">
        <f>CONCATENATE("Team: ",'Team Info'!$B$3)</f>
        <v xml:space="preserve">Team: </v>
      </c>
    </row>
    <row r="2" spans="1:13" ht="38.25" customHeight="1" x14ac:dyDescent="0.25">
      <c r="A2" s="113" t="s">
        <v>82</v>
      </c>
      <c r="B2" s="114"/>
      <c r="C2" s="114"/>
      <c r="D2" s="114"/>
      <c r="E2" s="114"/>
      <c r="F2" s="114"/>
      <c r="G2" s="114"/>
      <c r="H2" s="114"/>
      <c r="I2" s="114"/>
      <c r="J2" s="114"/>
      <c r="K2" s="114"/>
      <c r="L2" s="114"/>
      <c r="M2" s="114"/>
    </row>
    <row r="3" spans="1:13" x14ac:dyDescent="0.25">
      <c r="A3" s="22" t="s">
        <v>74</v>
      </c>
      <c r="B3" s="46"/>
      <c r="C3" s="46"/>
      <c r="D3" s="22"/>
      <c r="E3" s="22"/>
      <c r="F3" s="22"/>
      <c r="H3" s="22">
        <v>9</v>
      </c>
      <c r="I3" s="46"/>
      <c r="J3" s="46"/>
      <c r="K3" s="22"/>
      <c r="L3" s="22"/>
      <c r="M3" s="22"/>
    </row>
    <row r="4" spans="1:13" ht="23.25" x14ac:dyDescent="0.25">
      <c r="A4" s="20" t="s">
        <v>0</v>
      </c>
      <c r="B4" s="20" t="s">
        <v>30</v>
      </c>
      <c r="C4" s="20" t="s">
        <v>31</v>
      </c>
      <c r="D4" s="42" t="s">
        <v>7</v>
      </c>
      <c r="E4" s="20" t="s">
        <v>2</v>
      </c>
      <c r="F4" s="20" t="s">
        <v>1</v>
      </c>
      <c r="H4" s="20" t="s">
        <v>0</v>
      </c>
      <c r="I4" s="20" t="s">
        <v>30</v>
      </c>
      <c r="J4" s="20" t="s">
        <v>31</v>
      </c>
      <c r="K4" s="42" t="s">
        <v>7</v>
      </c>
      <c r="L4" s="20" t="s">
        <v>2</v>
      </c>
      <c r="M4" s="20" t="s">
        <v>1</v>
      </c>
    </row>
    <row r="5" spans="1:13" x14ac:dyDescent="0.25">
      <c r="A5" s="43">
        <v>1</v>
      </c>
      <c r="B5" s="43" t="s">
        <v>89</v>
      </c>
      <c r="C5" s="43" t="s">
        <v>71</v>
      </c>
      <c r="D5" s="14"/>
      <c r="E5" s="29" t="str">
        <f t="shared" ref="E5:E14" si="0">IF(D5&gt;0,VLOOKUP(D5,Jumpers,3),"")</f>
        <v/>
      </c>
      <c r="F5" s="29" t="str">
        <f t="shared" ref="F5:F14" si="1">IF(D5&gt;0,VLOOKUP(D5,Jumpers,2),"")</f>
        <v/>
      </c>
      <c r="H5" s="43">
        <v>1</v>
      </c>
      <c r="I5" s="43" t="s">
        <v>89</v>
      </c>
      <c r="J5" s="43">
        <v>9</v>
      </c>
      <c r="K5" s="14"/>
      <c r="L5" s="29" t="str">
        <f t="shared" ref="L5:L14" si="2">IF(K5&gt;0,VLOOKUP(K5,Jumpers,3),"")</f>
        <v/>
      </c>
      <c r="M5" s="29" t="str">
        <f t="shared" ref="M5:M14" si="3">IF(K5&gt;0,VLOOKUP(K5,Jumpers,2),"")</f>
        <v/>
      </c>
    </row>
    <row r="6" spans="1:13" x14ac:dyDescent="0.25">
      <c r="A6" s="43">
        <v>2</v>
      </c>
      <c r="B6" s="43" t="s">
        <v>89</v>
      </c>
      <c r="C6" s="43" t="s">
        <v>71</v>
      </c>
      <c r="D6" s="14"/>
      <c r="E6" s="29" t="str">
        <f t="shared" si="0"/>
        <v/>
      </c>
      <c r="F6" s="29" t="str">
        <f t="shared" si="1"/>
        <v/>
      </c>
      <c r="H6" s="43">
        <v>2</v>
      </c>
      <c r="I6" s="43" t="s">
        <v>89</v>
      </c>
      <c r="J6" s="43">
        <v>9</v>
      </c>
      <c r="K6" s="14"/>
      <c r="L6" s="29" t="str">
        <f t="shared" si="2"/>
        <v/>
      </c>
      <c r="M6" s="29" t="str">
        <f t="shared" si="3"/>
        <v/>
      </c>
    </row>
    <row r="7" spans="1:13" x14ac:dyDescent="0.25">
      <c r="A7" s="43">
        <v>3</v>
      </c>
      <c r="B7" s="43" t="s">
        <v>89</v>
      </c>
      <c r="C7" s="43" t="s">
        <v>71</v>
      </c>
      <c r="D7" s="14"/>
      <c r="E7" s="29" t="str">
        <f t="shared" si="0"/>
        <v/>
      </c>
      <c r="F7" s="29" t="str">
        <f t="shared" si="1"/>
        <v/>
      </c>
      <c r="H7" s="43">
        <v>3</v>
      </c>
      <c r="I7" s="43" t="s">
        <v>89</v>
      </c>
      <c r="J7" s="43">
        <v>9</v>
      </c>
      <c r="K7" s="14"/>
      <c r="L7" s="29" t="str">
        <f t="shared" si="2"/>
        <v/>
      </c>
      <c r="M7" s="29" t="str">
        <f t="shared" si="3"/>
        <v/>
      </c>
    </row>
    <row r="8" spans="1:13" x14ac:dyDescent="0.25">
      <c r="A8" s="43">
        <v>4</v>
      </c>
      <c r="B8" s="43" t="s">
        <v>89</v>
      </c>
      <c r="C8" s="43" t="s">
        <v>71</v>
      </c>
      <c r="D8" s="14"/>
      <c r="E8" s="29" t="str">
        <f t="shared" si="0"/>
        <v/>
      </c>
      <c r="F8" s="29" t="str">
        <f t="shared" si="1"/>
        <v/>
      </c>
      <c r="H8" s="43">
        <v>4</v>
      </c>
      <c r="I8" s="43" t="s">
        <v>89</v>
      </c>
      <c r="J8" s="43">
        <v>9</v>
      </c>
      <c r="K8" s="14"/>
      <c r="L8" s="29" t="str">
        <f t="shared" si="2"/>
        <v/>
      </c>
      <c r="M8" s="29" t="str">
        <f t="shared" si="3"/>
        <v/>
      </c>
    </row>
    <row r="9" spans="1:13" x14ac:dyDescent="0.25">
      <c r="A9" s="43">
        <v>5</v>
      </c>
      <c r="B9" s="43" t="s">
        <v>89</v>
      </c>
      <c r="C9" s="43" t="s">
        <v>71</v>
      </c>
      <c r="D9" s="14"/>
      <c r="E9" s="29" t="str">
        <f t="shared" si="0"/>
        <v/>
      </c>
      <c r="F9" s="29" t="str">
        <f t="shared" si="1"/>
        <v/>
      </c>
      <c r="H9" s="43">
        <v>5</v>
      </c>
      <c r="I9" s="43" t="s">
        <v>89</v>
      </c>
      <c r="J9" s="43">
        <v>9</v>
      </c>
      <c r="K9" s="14"/>
      <c r="L9" s="29" t="str">
        <f t="shared" si="2"/>
        <v/>
      </c>
      <c r="M9" s="29" t="str">
        <f t="shared" si="3"/>
        <v/>
      </c>
    </row>
    <row r="10" spans="1:13" x14ac:dyDescent="0.25">
      <c r="A10" s="43">
        <v>6</v>
      </c>
      <c r="B10" s="43" t="s">
        <v>89</v>
      </c>
      <c r="C10" s="43" t="s">
        <v>71</v>
      </c>
      <c r="D10" s="14"/>
      <c r="E10" s="29" t="str">
        <f t="shared" si="0"/>
        <v/>
      </c>
      <c r="F10" s="29" t="str">
        <f t="shared" si="1"/>
        <v/>
      </c>
      <c r="H10" s="43">
        <v>6</v>
      </c>
      <c r="I10" s="43" t="s">
        <v>89</v>
      </c>
      <c r="J10" s="43">
        <v>9</v>
      </c>
      <c r="K10" s="14"/>
      <c r="L10" s="29" t="str">
        <f t="shared" si="2"/>
        <v/>
      </c>
      <c r="M10" s="29" t="str">
        <f t="shared" si="3"/>
        <v/>
      </c>
    </row>
    <row r="11" spans="1:13" x14ac:dyDescent="0.25">
      <c r="A11" s="43">
        <v>7</v>
      </c>
      <c r="B11" s="43" t="s">
        <v>89</v>
      </c>
      <c r="C11" s="43" t="s">
        <v>71</v>
      </c>
      <c r="D11" s="14"/>
      <c r="E11" s="29" t="str">
        <f t="shared" si="0"/>
        <v/>
      </c>
      <c r="F11" s="29" t="str">
        <f t="shared" si="1"/>
        <v/>
      </c>
      <c r="H11" s="43">
        <v>7</v>
      </c>
      <c r="I11" s="43" t="s">
        <v>89</v>
      </c>
      <c r="J11" s="43">
        <v>9</v>
      </c>
      <c r="K11" s="14"/>
      <c r="L11" s="29" t="str">
        <f t="shared" si="2"/>
        <v/>
      </c>
      <c r="M11" s="29" t="str">
        <f t="shared" si="3"/>
        <v/>
      </c>
    </row>
    <row r="12" spans="1:13" x14ac:dyDescent="0.25">
      <c r="A12" s="43">
        <v>8</v>
      </c>
      <c r="B12" s="43" t="s">
        <v>89</v>
      </c>
      <c r="C12" s="43" t="s">
        <v>71</v>
      </c>
      <c r="D12" s="14"/>
      <c r="E12" s="29" t="str">
        <f t="shared" si="0"/>
        <v/>
      </c>
      <c r="F12" s="29" t="str">
        <f t="shared" si="1"/>
        <v/>
      </c>
      <c r="H12" s="43">
        <v>8</v>
      </c>
      <c r="I12" s="43" t="s">
        <v>89</v>
      </c>
      <c r="J12" s="43">
        <v>9</v>
      </c>
      <c r="K12" s="14"/>
      <c r="L12" s="29" t="str">
        <f t="shared" si="2"/>
        <v/>
      </c>
      <c r="M12" s="29" t="str">
        <f t="shared" si="3"/>
        <v/>
      </c>
    </row>
    <row r="13" spans="1:13" x14ac:dyDescent="0.25">
      <c r="A13" s="43">
        <v>9</v>
      </c>
      <c r="B13" s="43" t="s">
        <v>89</v>
      </c>
      <c r="C13" s="43" t="s">
        <v>71</v>
      </c>
      <c r="D13" s="14"/>
      <c r="E13" s="29" t="str">
        <f t="shared" si="0"/>
        <v/>
      </c>
      <c r="F13" s="29" t="str">
        <f t="shared" si="1"/>
        <v/>
      </c>
      <c r="H13" s="43">
        <v>9</v>
      </c>
      <c r="I13" s="43" t="s">
        <v>89</v>
      </c>
      <c r="J13" s="43">
        <v>9</v>
      </c>
      <c r="K13" s="14"/>
      <c r="L13" s="29" t="str">
        <f t="shared" si="2"/>
        <v/>
      </c>
      <c r="M13" s="29" t="str">
        <f t="shared" si="3"/>
        <v/>
      </c>
    </row>
    <row r="14" spans="1:13" x14ac:dyDescent="0.25">
      <c r="A14" s="43">
        <v>10</v>
      </c>
      <c r="B14" s="43" t="s">
        <v>89</v>
      </c>
      <c r="C14" s="43" t="s">
        <v>71</v>
      </c>
      <c r="D14" s="14"/>
      <c r="E14" s="29" t="str">
        <f t="shared" si="0"/>
        <v/>
      </c>
      <c r="F14" s="29" t="str">
        <f t="shared" si="1"/>
        <v/>
      </c>
      <c r="H14" s="43">
        <v>10</v>
      </c>
      <c r="I14" s="43" t="s">
        <v>89</v>
      </c>
      <c r="J14" s="43">
        <v>9</v>
      </c>
      <c r="K14" s="14"/>
      <c r="L14" s="29" t="str">
        <f t="shared" si="2"/>
        <v/>
      </c>
      <c r="M14" s="29" t="str">
        <f t="shared" si="3"/>
        <v/>
      </c>
    </row>
    <row r="15" spans="1:13" x14ac:dyDescent="0.25">
      <c r="A15" s="22">
        <v>10</v>
      </c>
      <c r="B15" s="46"/>
      <c r="C15" s="46"/>
      <c r="D15" s="22"/>
      <c r="E15" s="22"/>
      <c r="F15" s="22"/>
      <c r="H15" s="22">
        <v>11</v>
      </c>
      <c r="I15" s="46"/>
      <c r="J15" s="46"/>
      <c r="K15" s="22"/>
      <c r="L15" s="22"/>
      <c r="M15" s="22"/>
    </row>
    <row r="16" spans="1:13" ht="23.25" x14ac:dyDescent="0.25">
      <c r="A16" s="20" t="s">
        <v>0</v>
      </c>
      <c r="B16" s="20" t="s">
        <v>30</v>
      </c>
      <c r="C16" s="20" t="s">
        <v>31</v>
      </c>
      <c r="D16" s="42" t="s">
        <v>7</v>
      </c>
      <c r="E16" s="20" t="s">
        <v>2</v>
      </c>
      <c r="F16" s="20" t="s">
        <v>1</v>
      </c>
      <c r="H16" s="20" t="s">
        <v>0</v>
      </c>
      <c r="I16" s="20" t="s">
        <v>30</v>
      </c>
      <c r="J16" s="20" t="s">
        <v>31</v>
      </c>
      <c r="K16" s="42" t="s">
        <v>7</v>
      </c>
      <c r="L16" s="20" t="s">
        <v>2</v>
      </c>
      <c r="M16" s="20" t="s">
        <v>1</v>
      </c>
    </row>
    <row r="17" spans="1:13" x14ac:dyDescent="0.25">
      <c r="A17" s="43">
        <v>1</v>
      </c>
      <c r="B17" s="43" t="s">
        <v>89</v>
      </c>
      <c r="C17" s="43">
        <v>10</v>
      </c>
      <c r="D17" s="14"/>
      <c r="E17" s="29" t="str">
        <f t="shared" ref="E17:E36" si="4">IF(D17&gt;0,VLOOKUP(D17,Jumpers,3),"")</f>
        <v/>
      </c>
      <c r="F17" s="29" t="str">
        <f t="shared" ref="F17:F36" si="5">IF(D17&gt;0,VLOOKUP(D17,Jumpers,2),"")</f>
        <v/>
      </c>
      <c r="H17" s="43">
        <v>1</v>
      </c>
      <c r="I17" s="43" t="s">
        <v>89</v>
      </c>
      <c r="J17" s="43">
        <v>11</v>
      </c>
      <c r="K17" s="14"/>
      <c r="L17" s="29" t="str">
        <f t="shared" ref="L17:L36" si="6">IF(K17&gt;0,VLOOKUP(K17,Jumpers,3),"")</f>
        <v/>
      </c>
      <c r="M17" s="29" t="str">
        <f t="shared" ref="M17:M36" si="7">IF(K17&gt;0,VLOOKUP(K17,Jumpers,2),"")</f>
        <v/>
      </c>
    </row>
    <row r="18" spans="1:13" x14ac:dyDescent="0.25">
      <c r="A18" s="43">
        <v>2</v>
      </c>
      <c r="B18" s="43" t="s">
        <v>89</v>
      </c>
      <c r="C18" s="43">
        <v>10</v>
      </c>
      <c r="D18" s="14"/>
      <c r="E18" s="29" t="str">
        <f t="shared" si="4"/>
        <v/>
      </c>
      <c r="F18" s="29" t="str">
        <f t="shared" si="5"/>
        <v/>
      </c>
      <c r="H18" s="43">
        <v>2</v>
      </c>
      <c r="I18" s="43" t="s">
        <v>89</v>
      </c>
      <c r="J18" s="43">
        <v>11</v>
      </c>
      <c r="K18" s="14"/>
      <c r="L18" s="29" t="str">
        <f t="shared" si="6"/>
        <v/>
      </c>
      <c r="M18" s="29" t="str">
        <f t="shared" si="7"/>
        <v/>
      </c>
    </row>
    <row r="19" spans="1:13" x14ac:dyDescent="0.25">
      <c r="A19" s="43">
        <v>3</v>
      </c>
      <c r="B19" s="43" t="s">
        <v>89</v>
      </c>
      <c r="C19" s="43">
        <v>10</v>
      </c>
      <c r="D19" s="14"/>
      <c r="E19" s="29" t="str">
        <f t="shared" si="4"/>
        <v/>
      </c>
      <c r="F19" s="29" t="str">
        <f t="shared" si="5"/>
        <v/>
      </c>
      <c r="H19" s="43">
        <v>3</v>
      </c>
      <c r="I19" s="43" t="s">
        <v>89</v>
      </c>
      <c r="J19" s="43">
        <v>11</v>
      </c>
      <c r="K19" s="14"/>
      <c r="L19" s="29" t="str">
        <f t="shared" si="6"/>
        <v/>
      </c>
      <c r="M19" s="29" t="str">
        <f t="shared" si="7"/>
        <v/>
      </c>
    </row>
    <row r="20" spans="1:13" x14ac:dyDescent="0.25">
      <c r="A20" s="43">
        <v>4</v>
      </c>
      <c r="B20" s="43" t="s">
        <v>89</v>
      </c>
      <c r="C20" s="43">
        <v>10</v>
      </c>
      <c r="D20" s="14"/>
      <c r="E20" s="29" t="str">
        <f t="shared" si="4"/>
        <v/>
      </c>
      <c r="F20" s="29" t="str">
        <f t="shared" si="5"/>
        <v/>
      </c>
      <c r="H20" s="43">
        <v>4</v>
      </c>
      <c r="I20" s="43" t="s">
        <v>89</v>
      </c>
      <c r="J20" s="43">
        <v>11</v>
      </c>
      <c r="K20" s="14"/>
      <c r="L20" s="29" t="str">
        <f t="shared" si="6"/>
        <v/>
      </c>
      <c r="M20" s="29" t="str">
        <f t="shared" si="7"/>
        <v/>
      </c>
    </row>
    <row r="21" spans="1:13" x14ac:dyDescent="0.25">
      <c r="A21" s="43">
        <v>5</v>
      </c>
      <c r="B21" s="43" t="s">
        <v>89</v>
      </c>
      <c r="C21" s="43">
        <v>10</v>
      </c>
      <c r="D21" s="14"/>
      <c r="E21" s="29" t="str">
        <f t="shared" si="4"/>
        <v/>
      </c>
      <c r="F21" s="29" t="str">
        <f t="shared" si="5"/>
        <v/>
      </c>
      <c r="H21" s="43">
        <v>5</v>
      </c>
      <c r="I21" s="43" t="s">
        <v>89</v>
      </c>
      <c r="J21" s="43">
        <v>11</v>
      </c>
      <c r="K21" s="14"/>
      <c r="L21" s="29" t="str">
        <f t="shared" si="6"/>
        <v/>
      </c>
      <c r="M21" s="29" t="str">
        <f t="shared" si="7"/>
        <v/>
      </c>
    </row>
    <row r="22" spans="1:13" x14ac:dyDescent="0.25">
      <c r="A22" s="43">
        <v>6</v>
      </c>
      <c r="B22" s="43" t="s">
        <v>89</v>
      </c>
      <c r="C22" s="43">
        <v>10</v>
      </c>
      <c r="D22" s="14"/>
      <c r="E22" s="29" t="str">
        <f t="shared" si="4"/>
        <v/>
      </c>
      <c r="F22" s="29" t="str">
        <f t="shared" si="5"/>
        <v/>
      </c>
      <c r="H22" s="43">
        <v>6</v>
      </c>
      <c r="I22" s="43" t="s">
        <v>89</v>
      </c>
      <c r="J22" s="43">
        <v>11</v>
      </c>
      <c r="K22" s="14"/>
      <c r="L22" s="29" t="str">
        <f t="shared" si="6"/>
        <v/>
      </c>
      <c r="M22" s="29" t="str">
        <f t="shared" si="7"/>
        <v/>
      </c>
    </row>
    <row r="23" spans="1:13" x14ac:dyDescent="0.25">
      <c r="A23" s="43">
        <v>7</v>
      </c>
      <c r="B23" s="43" t="s">
        <v>89</v>
      </c>
      <c r="C23" s="43">
        <v>10</v>
      </c>
      <c r="D23" s="14"/>
      <c r="E23" s="29" t="str">
        <f t="shared" si="4"/>
        <v/>
      </c>
      <c r="F23" s="29" t="str">
        <f t="shared" si="5"/>
        <v/>
      </c>
      <c r="H23" s="43">
        <v>7</v>
      </c>
      <c r="I23" s="43" t="s">
        <v>89</v>
      </c>
      <c r="J23" s="43">
        <v>11</v>
      </c>
      <c r="K23" s="14"/>
      <c r="L23" s="29" t="str">
        <f t="shared" si="6"/>
        <v/>
      </c>
      <c r="M23" s="29" t="str">
        <f t="shared" si="7"/>
        <v/>
      </c>
    </row>
    <row r="24" spans="1:13" x14ac:dyDescent="0.25">
      <c r="A24" s="43">
        <v>8</v>
      </c>
      <c r="B24" s="43" t="s">
        <v>89</v>
      </c>
      <c r="C24" s="43">
        <v>10</v>
      </c>
      <c r="D24" s="14"/>
      <c r="E24" s="29" t="str">
        <f t="shared" si="4"/>
        <v/>
      </c>
      <c r="F24" s="29" t="str">
        <f t="shared" si="5"/>
        <v/>
      </c>
      <c r="H24" s="43">
        <v>8</v>
      </c>
      <c r="I24" s="43" t="s">
        <v>89</v>
      </c>
      <c r="J24" s="43">
        <v>11</v>
      </c>
      <c r="K24" s="14"/>
      <c r="L24" s="29" t="str">
        <f t="shared" si="6"/>
        <v/>
      </c>
      <c r="M24" s="29" t="str">
        <f t="shared" si="7"/>
        <v/>
      </c>
    </row>
    <row r="25" spans="1:13" x14ac:dyDescent="0.25">
      <c r="A25" s="43">
        <v>9</v>
      </c>
      <c r="B25" s="43" t="s">
        <v>89</v>
      </c>
      <c r="C25" s="43">
        <v>10</v>
      </c>
      <c r="D25" s="14"/>
      <c r="E25" s="29" t="str">
        <f t="shared" si="4"/>
        <v/>
      </c>
      <c r="F25" s="29" t="str">
        <f t="shared" si="5"/>
        <v/>
      </c>
      <c r="H25" s="43">
        <v>9</v>
      </c>
      <c r="I25" s="43" t="s">
        <v>89</v>
      </c>
      <c r="J25" s="43">
        <v>11</v>
      </c>
      <c r="K25" s="14"/>
      <c r="L25" s="29" t="str">
        <f t="shared" si="6"/>
        <v/>
      </c>
      <c r="M25" s="29" t="str">
        <f t="shared" si="7"/>
        <v/>
      </c>
    </row>
    <row r="26" spans="1:13" x14ac:dyDescent="0.25">
      <c r="A26" s="43">
        <v>10</v>
      </c>
      <c r="B26" s="43" t="s">
        <v>89</v>
      </c>
      <c r="C26" s="43">
        <v>10</v>
      </c>
      <c r="D26" s="14"/>
      <c r="E26" s="29" t="str">
        <f t="shared" si="4"/>
        <v/>
      </c>
      <c r="F26" s="29" t="str">
        <f t="shared" si="5"/>
        <v/>
      </c>
      <c r="H26" s="43">
        <v>10</v>
      </c>
      <c r="I26" s="43" t="s">
        <v>89</v>
      </c>
      <c r="J26" s="43">
        <v>11</v>
      </c>
      <c r="K26" s="14"/>
      <c r="L26" s="29" t="str">
        <f t="shared" si="6"/>
        <v/>
      </c>
      <c r="M26" s="29" t="str">
        <f t="shared" si="7"/>
        <v/>
      </c>
    </row>
    <row r="27" spans="1:13" x14ac:dyDescent="0.25">
      <c r="A27" s="43">
        <v>11</v>
      </c>
      <c r="B27" s="43" t="s">
        <v>89</v>
      </c>
      <c r="C27" s="43">
        <v>10</v>
      </c>
      <c r="D27" s="14"/>
      <c r="E27" s="29" t="str">
        <f t="shared" si="4"/>
        <v/>
      </c>
      <c r="F27" s="29" t="str">
        <f t="shared" si="5"/>
        <v/>
      </c>
      <c r="H27" s="43">
        <v>11</v>
      </c>
      <c r="I27" s="43" t="s">
        <v>89</v>
      </c>
      <c r="J27" s="43">
        <v>11</v>
      </c>
      <c r="K27" s="14"/>
      <c r="L27" s="29" t="str">
        <f t="shared" si="6"/>
        <v/>
      </c>
      <c r="M27" s="29" t="str">
        <f t="shared" si="7"/>
        <v/>
      </c>
    </row>
    <row r="28" spans="1:13" x14ac:dyDescent="0.25">
      <c r="A28" s="43">
        <v>12</v>
      </c>
      <c r="B28" s="43" t="s">
        <v>89</v>
      </c>
      <c r="C28" s="43">
        <v>10</v>
      </c>
      <c r="D28" s="14"/>
      <c r="E28" s="29" t="str">
        <f t="shared" si="4"/>
        <v/>
      </c>
      <c r="F28" s="29" t="str">
        <f t="shared" si="5"/>
        <v/>
      </c>
      <c r="H28" s="43">
        <v>12</v>
      </c>
      <c r="I28" s="43" t="s">
        <v>89</v>
      </c>
      <c r="J28" s="43">
        <v>11</v>
      </c>
      <c r="K28" s="14"/>
      <c r="L28" s="29" t="str">
        <f t="shared" si="6"/>
        <v/>
      </c>
      <c r="M28" s="29" t="str">
        <f t="shared" si="7"/>
        <v/>
      </c>
    </row>
    <row r="29" spans="1:13" x14ac:dyDescent="0.25">
      <c r="A29" s="43">
        <v>13</v>
      </c>
      <c r="B29" s="43" t="s">
        <v>89</v>
      </c>
      <c r="C29" s="43">
        <v>10</v>
      </c>
      <c r="D29" s="14"/>
      <c r="E29" s="29" t="str">
        <f t="shared" si="4"/>
        <v/>
      </c>
      <c r="F29" s="29" t="str">
        <f t="shared" si="5"/>
        <v/>
      </c>
      <c r="H29" s="43">
        <v>13</v>
      </c>
      <c r="I29" s="43" t="s">
        <v>89</v>
      </c>
      <c r="J29" s="43">
        <v>11</v>
      </c>
      <c r="K29" s="14"/>
      <c r="L29" s="29" t="str">
        <f t="shared" si="6"/>
        <v/>
      </c>
      <c r="M29" s="29" t="str">
        <f t="shared" si="7"/>
        <v/>
      </c>
    </row>
    <row r="30" spans="1:13" x14ac:dyDescent="0.25">
      <c r="A30" s="43">
        <v>14</v>
      </c>
      <c r="B30" s="43" t="s">
        <v>89</v>
      </c>
      <c r="C30" s="43">
        <v>10</v>
      </c>
      <c r="D30" s="14"/>
      <c r="E30" s="29" t="str">
        <f t="shared" si="4"/>
        <v/>
      </c>
      <c r="F30" s="29" t="str">
        <f t="shared" si="5"/>
        <v/>
      </c>
      <c r="H30" s="43">
        <v>14</v>
      </c>
      <c r="I30" s="43" t="s">
        <v>89</v>
      </c>
      <c r="J30" s="43">
        <v>11</v>
      </c>
      <c r="K30" s="14"/>
      <c r="L30" s="29" t="str">
        <f t="shared" si="6"/>
        <v/>
      </c>
      <c r="M30" s="29" t="str">
        <f t="shared" si="7"/>
        <v/>
      </c>
    </row>
    <row r="31" spans="1:13" x14ac:dyDescent="0.25">
      <c r="A31" s="43">
        <v>15</v>
      </c>
      <c r="B31" s="43" t="s">
        <v>89</v>
      </c>
      <c r="C31" s="43">
        <v>10</v>
      </c>
      <c r="D31" s="14"/>
      <c r="E31" s="29" t="str">
        <f t="shared" si="4"/>
        <v/>
      </c>
      <c r="F31" s="29" t="str">
        <f t="shared" si="5"/>
        <v/>
      </c>
      <c r="H31" s="43">
        <v>15</v>
      </c>
      <c r="I31" s="43" t="s">
        <v>89</v>
      </c>
      <c r="J31" s="43">
        <v>11</v>
      </c>
      <c r="K31" s="14"/>
      <c r="L31" s="29" t="str">
        <f t="shared" si="6"/>
        <v/>
      </c>
      <c r="M31" s="29" t="str">
        <f t="shared" si="7"/>
        <v/>
      </c>
    </row>
    <row r="32" spans="1:13" x14ac:dyDescent="0.25">
      <c r="A32" s="43">
        <v>16</v>
      </c>
      <c r="B32" s="43" t="s">
        <v>89</v>
      </c>
      <c r="C32" s="43">
        <v>10</v>
      </c>
      <c r="D32" s="14"/>
      <c r="E32" s="29" t="str">
        <f t="shared" si="4"/>
        <v/>
      </c>
      <c r="F32" s="29" t="str">
        <f t="shared" si="5"/>
        <v/>
      </c>
      <c r="H32" s="43">
        <v>16</v>
      </c>
      <c r="I32" s="43" t="s">
        <v>89</v>
      </c>
      <c r="J32" s="43">
        <v>11</v>
      </c>
      <c r="K32" s="14"/>
      <c r="L32" s="29" t="str">
        <f t="shared" si="6"/>
        <v/>
      </c>
      <c r="M32" s="29" t="str">
        <f t="shared" si="7"/>
        <v/>
      </c>
    </row>
    <row r="33" spans="1:13" x14ac:dyDescent="0.25">
      <c r="A33" s="43">
        <v>17</v>
      </c>
      <c r="B33" s="43" t="s">
        <v>89</v>
      </c>
      <c r="C33" s="43">
        <v>10</v>
      </c>
      <c r="D33" s="14"/>
      <c r="E33" s="29" t="str">
        <f t="shared" si="4"/>
        <v/>
      </c>
      <c r="F33" s="29" t="str">
        <f t="shared" si="5"/>
        <v/>
      </c>
      <c r="H33" s="43">
        <v>17</v>
      </c>
      <c r="I33" s="43" t="s">
        <v>89</v>
      </c>
      <c r="J33" s="43">
        <v>11</v>
      </c>
      <c r="K33" s="14"/>
      <c r="L33" s="29" t="str">
        <f t="shared" si="6"/>
        <v/>
      </c>
      <c r="M33" s="29" t="str">
        <f t="shared" si="7"/>
        <v/>
      </c>
    </row>
    <row r="34" spans="1:13" x14ac:dyDescent="0.25">
      <c r="A34" s="43">
        <v>18</v>
      </c>
      <c r="B34" s="43" t="s">
        <v>89</v>
      </c>
      <c r="C34" s="43">
        <v>10</v>
      </c>
      <c r="D34" s="14"/>
      <c r="E34" s="29" t="str">
        <f t="shared" si="4"/>
        <v/>
      </c>
      <c r="F34" s="29" t="str">
        <f t="shared" si="5"/>
        <v/>
      </c>
      <c r="H34" s="43">
        <v>18</v>
      </c>
      <c r="I34" s="43" t="s">
        <v>89</v>
      </c>
      <c r="J34" s="43">
        <v>11</v>
      </c>
      <c r="K34" s="14"/>
      <c r="L34" s="29" t="str">
        <f t="shared" si="6"/>
        <v/>
      </c>
      <c r="M34" s="29" t="str">
        <f t="shared" si="7"/>
        <v/>
      </c>
    </row>
    <row r="35" spans="1:13" x14ac:dyDescent="0.25">
      <c r="A35" s="43">
        <v>19</v>
      </c>
      <c r="B35" s="43" t="s">
        <v>89</v>
      </c>
      <c r="C35" s="43">
        <v>10</v>
      </c>
      <c r="D35" s="14"/>
      <c r="E35" s="29" t="str">
        <f t="shared" si="4"/>
        <v/>
      </c>
      <c r="F35" s="29" t="str">
        <f t="shared" si="5"/>
        <v/>
      </c>
      <c r="H35" s="43">
        <v>19</v>
      </c>
      <c r="I35" s="43" t="s">
        <v>89</v>
      </c>
      <c r="J35" s="43">
        <v>11</v>
      </c>
      <c r="K35" s="14"/>
      <c r="L35" s="29" t="str">
        <f t="shared" si="6"/>
        <v/>
      </c>
      <c r="M35" s="29" t="str">
        <f t="shared" si="7"/>
        <v/>
      </c>
    </row>
    <row r="36" spans="1:13" x14ac:dyDescent="0.25">
      <c r="A36" s="43">
        <v>20</v>
      </c>
      <c r="B36" s="43" t="s">
        <v>89</v>
      </c>
      <c r="C36" s="43">
        <v>10</v>
      </c>
      <c r="D36" s="14"/>
      <c r="E36" s="29" t="str">
        <f t="shared" si="4"/>
        <v/>
      </c>
      <c r="F36" s="29" t="str">
        <f t="shared" si="5"/>
        <v/>
      </c>
      <c r="H36" s="43">
        <v>20</v>
      </c>
      <c r="I36" s="43" t="s">
        <v>89</v>
      </c>
      <c r="J36" s="43">
        <v>11</v>
      </c>
      <c r="K36" s="14"/>
      <c r="L36" s="29" t="str">
        <f t="shared" si="6"/>
        <v/>
      </c>
      <c r="M36" s="29" t="str">
        <f t="shared" si="7"/>
        <v/>
      </c>
    </row>
    <row r="37" spans="1:13" x14ac:dyDescent="0.25">
      <c r="A37" s="22">
        <v>12</v>
      </c>
      <c r="B37" s="46"/>
      <c r="C37" s="46"/>
      <c r="D37" s="22"/>
      <c r="E37" s="22"/>
      <c r="F37" s="22"/>
      <c r="H37" s="22">
        <v>13</v>
      </c>
      <c r="I37" s="46"/>
      <c r="J37" s="46"/>
      <c r="K37" s="22"/>
      <c r="L37" s="22"/>
      <c r="M37" s="22"/>
    </row>
    <row r="38" spans="1:13" ht="23.25" x14ac:dyDescent="0.25">
      <c r="A38" s="20" t="s">
        <v>0</v>
      </c>
      <c r="B38" s="20" t="s">
        <v>30</v>
      </c>
      <c r="C38" s="20" t="s">
        <v>31</v>
      </c>
      <c r="D38" s="42" t="s">
        <v>7</v>
      </c>
      <c r="E38" s="20" t="s">
        <v>2</v>
      </c>
      <c r="F38" s="20" t="s">
        <v>1</v>
      </c>
      <c r="H38" s="20" t="s">
        <v>0</v>
      </c>
      <c r="I38" s="20" t="s">
        <v>30</v>
      </c>
      <c r="J38" s="20" t="s">
        <v>31</v>
      </c>
      <c r="K38" s="42" t="s">
        <v>7</v>
      </c>
      <c r="L38" s="20" t="s">
        <v>2</v>
      </c>
      <c r="M38" s="20" t="s">
        <v>1</v>
      </c>
    </row>
    <row r="39" spans="1:13" x14ac:dyDescent="0.25">
      <c r="A39" s="28">
        <v>1</v>
      </c>
      <c r="B39" s="43" t="s">
        <v>89</v>
      </c>
      <c r="C39" s="43">
        <v>12</v>
      </c>
      <c r="D39" s="14"/>
      <c r="E39" s="29" t="str">
        <f t="shared" ref="E39:E46" si="8">IF(D39&gt;0,VLOOKUP(D39,Jumpers,3),"")</f>
        <v/>
      </c>
      <c r="F39" s="29" t="str">
        <f t="shared" ref="F39:F46" si="9">IF(D39&gt;0,VLOOKUP(D39,Jumpers,2),"")</f>
        <v/>
      </c>
      <c r="H39" s="28">
        <v>1</v>
      </c>
      <c r="I39" s="43" t="s">
        <v>89</v>
      </c>
      <c r="J39" s="43">
        <v>13</v>
      </c>
      <c r="K39" s="14"/>
      <c r="L39" s="29" t="str">
        <f t="shared" ref="L39:L46" si="10">IF(K39&gt;0,VLOOKUP(K39,Jumpers,3),"")</f>
        <v/>
      </c>
      <c r="M39" s="29" t="str">
        <f t="shared" ref="M39:M46" si="11">IF(K39&gt;0,VLOOKUP(K39,Jumpers,2),"")</f>
        <v/>
      </c>
    </row>
    <row r="40" spans="1:13" x14ac:dyDescent="0.25">
      <c r="A40" s="28">
        <v>2</v>
      </c>
      <c r="B40" s="43" t="s">
        <v>89</v>
      </c>
      <c r="C40" s="43">
        <v>12</v>
      </c>
      <c r="D40" s="14"/>
      <c r="E40" s="29" t="str">
        <f t="shared" si="8"/>
        <v/>
      </c>
      <c r="F40" s="29" t="str">
        <f t="shared" si="9"/>
        <v/>
      </c>
      <c r="H40" s="28">
        <v>2</v>
      </c>
      <c r="I40" s="43" t="s">
        <v>89</v>
      </c>
      <c r="J40" s="43">
        <v>13</v>
      </c>
      <c r="K40" s="14"/>
      <c r="L40" s="29" t="str">
        <f t="shared" si="10"/>
        <v/>
      </c>
      <c r="M40" s="29" t="str">
        <f t="shared" si="11"/>
        <v/>
      </c>
    </row>
    <row r="41" spans="1:13" x14ac:dyDescent="0.25">
      <c r="A41" s="28">
        <v>3</v>
      </c>
      <c r="B41" s="43" t="s">
        <v>89</v>
      </c>
      <c r="C41" s="43">
        <v>12</v>
      </c>
      <c r="D41" s="14"/>
      <c r="E41" s="29" t="str">
        <f t="shared" si="8"/>
        <v/>
      </c>
      <c r="F41" s="29" t="str">
        <f t="shared" si="9"/>
        <v/>
      </c>
      <c r="H41" s="28">
        <v>3</v>
      </c>
      <c r="I41" s="43" t="s">
        <v>89</v>
      </c>
      <c r="J41" s="43">
        <v>13</v>
      </c>
      <c r="K41" s="14"/>
      <c r="L41" s="29" t="str">
        <f t="shared" si="10"/>
        <v/>
      </c>
      <c r="M41" s="29" t="str">
        <f t="shared" si="11"/>
        <v/>
      </c>
    </row>
    <row r="42" spans="1:13" x14ac:dyDescent="0.25">
      <c r="A42" s="28">
        <v>4</v>
      </c>
      <c r="B42" s="43" t="s">
        <v>89</v>
      </c>
      <c r="C42" s="43">
        <v>12</v>
      </c>
      <c r="D42" s="14"/>
      <c r="E42" s="29" t="str">
        <f t="shared" si="8"/>
        <v/>
      </c>
      <c r="F42" s="29" t="str">
        <f t="shared" si="9"/>
        <v/>
      </c>
      <c r="H42" s="28">
        <v>4</v>
      </c>
      <c r="I42" s="43" t="s">
        <v>89</v>
      </c>
      <c r="J42" s="43">
        <v>13</v>
      </c>
      <c r="K42" s="14"/>
      <c r="L42" s="29" t="str">
        <f t="shared" si="10"/>
        <v/>
      </c>
      <c r="M42" s="29" t="str">
        <f t="shared" si="11"/>
        <v/>
      </c>
    </row>
    <row r="43" spans="1:13" x14ac:dyDescent="0.25">
      <c r="A43" s="28">
        <v>5</v>
      </c>
      <c r="B43" s="43" t="s">
        <v>89</v>
      </c>
      <c r="C43" s="43">
        <v>12</v>
      </c>
      <c r="D43" s="14"/>
      <c r="E43" s="29" t="str">
        <f t="shared" si="8"/>
        <v/>
      </c>
      <c r="F43" s="29" t="str">
        <f t="shared" si="9"/>
        <v/>
      </c>
      <c r="H43" s="28">
        <v>5</v>
      </c>
      <c r="I43" s="43" t="s">
        <v>89</v>
      </c>
      <c r="J43" s="43">
        <v>13</v>
      </c>
      <c r="K43" s="14"/>
      <c r="L43" s="29" t="str">
        <f t="shared" si="10"/>
        <v/>
      </c>
      <c r="M43" s="29" t="str">
        <f t="shared" si="11"/>
        <v/>
      </c>
    </row>
    <row r="44" spans="1:13" x14ac:dyDescent="0.25">
      <c r="A44" s="28">
        <v>6</v>
      </c>
      <c r="B44" s="43" t="s">
        <v>89</v>
      </c>
      <c r="C44" s="43">
        <v>12</v>
      </c>
      <c r="D44" s="14"/>
      <c r="E44" s="29" t="str">
        <f t="shared" si="8"/>
        <v/>
      </c>
      <c r="F44" s="29" t="str">
        <f t="shared" si="9"/>
        <v/>
      </c>
      <c r="H44" s="28">
        <v>6</v>
      </c>
      <c r="I44" s="43" t="s">
        <v>89</v>
      </c>
      <c r="J44" s="43">
        <v>13</v>
      </c>
      <c r="K44" s="14"/>
      <c r="L44" s="29" t="str">
        <f t="shared" si="10"/>
        <v/>
      </c>
      <c r="M44" s="29" t="str">
        <f t="shared" si="11"/>
        <v/>
      </c>
    </row>
    <row r="45" spans="1:13" x14ac:dyDescent="0.25">
      <c r="A45" s="28">
        <v>7</v>
      </c>
      <c r="B45" s="43" t="s">
        <v>89</v>
      </c>
      <c r="C45" s="43">
        <v>12</v>
      </c>
      <c r="D45" s="14"/>
      <c r="E45" s="29" t="str">
        <f t="shared" si="8"/>
        <v/>
      </c>
      <c r="F45" s="29" t="str">
        <f t="shared" si="9"/>
        <v/>
      </c>
      <c r="H45" s="28">
        <v>7</v>
      </c>
      <c r="I45" s="43" t="s">
        <v>89</v>
      </c>
      <c r="J45" s="43">
        <v>13</v>
      </c>
      <c r="K45" s="14"/>
      <c r="L45" s="29" t="str">
        <f t="shared" si="10"/>
        <v/>
      </c>
      <c r="M45" s="29" t="str">
        <f t="shared" si="11"/>
        <v/>
      </c>
    </row>
    <row r="46" spans="1:13" x14ac:dyDescent="0.25">
      <c r="A46" s="28">
        <v>8</v>
      </c>
      <c r="B46" s="43" t="s">
        <v>89</v>
      </c>
      <c r="C46" s="43">
        <v>12</v>
      </c>
      <c r="D46" s="14"/>
      <c r="E46" s="29" t="str">
        <f t="shared" si="8"/>
        <v/>
      </c>
      <c r="F46" s="29" t="str">
        <f t="shared" si="9"/>
        <v/>
      </c>
      <c r="H46" s="28">
        <v>8</v>
      </c>
      <c r="I46" s="43" t="s">
        <v>89</v>
      </c>
      <c r="J46" s="43">
        <v>13</v>
      </c>
      <c r="K46" s="14"/>
      <c r="L46" s="29" t="str">
        <f t="shared" si="10"/>
        <v/>
      </c>
      <c r="M46" s="29" t="str">
        <f t="shared" si="11"/>
        <v/>
      </c>
    </row>
    <row r="47" spans="1:13" x14ac:dyDescent="0.25">
      <c r="A47" s="28">
        <v>9</v>
      </c>
      <c r="B47" s="43" t="s">
        <v>89</v>
      </c>
      <c r="C47" s="43">
        <v>12</v>
      </c>
      <c r="D47" s="14"/>
      <c r="E47" s="29" t="str">
        <f t="shared" ref="E47:E58" si="12">IF(D47&gt;0,VLOOKUP(D47,Jumpers,3),"")</f>
        <v/>
      </c>
      <c r="F47" s="29" t="str">
        <f t="shared" ref="F47:F58" si="13">IF(D47&gt;0,VLOOKUP(D47,Jumpers,2),"")</f>
        <v/>
      </c>
      <c r="H47" s="28">
        <v>9</v>
      </c>
      <c r="I47" s="43" t="s">
        <v>89</v>
      </c>
      <c r="J47" s="43">
        <v>13</v>
      </c>
      <c r="K47" s="14"/>
      <c r="L47" s="29" t="str">
        <f t="shared" ref="L47:L58" si="14">IF(K47&gt;0,VLOOKUP(K47,Jumpers,3),"")</f>
        <v/>
      </c>
      <c r="M47" s="29" t="str">
        <f t="shared" ref="M47:M58" si="15">IF(K47&gt;0,VLOOKUP(K47,Jumpers,2),"")</f>
        <v/>
      </c>
    </row>
    <row r="48" spans="1:13" x14ac:dyDescent="0.25">
      <c r="A48" s="28">
        <v>10</v>
      </c>
      <c r="B48" s="43" t="s">
        <v>89</v>
      </c>
      <c r="C48" s="43">
        <v>12</v>
      </c>
      <c r="D48" s="14"/>
      <c r="E48" s="29" t="str">
        <f t="shared" si="12"/>
        <v/>
      </c>
      <c r="F48" s="29" t="str">
        <f t="shared" si="13"/>
        <v/>
      </c>
      <c r="H48" s="28">
        <v>10</v>
      </c>
      <c r="I48" s="43" t="s">
        <v>89</v>
      </c>
      <c r="J48" s="43">
        <v>13</v>
      </c>
      <c r="K48" s="14"/>
      <c r="L48" s="29" t="str">
        <f t="shared" si="14"/>
        <v/>
      </c>
      <c r="M48" s="29" t="str">
        <f t="shared" si="15"/>
        <v/>
      </c>
    </row>
    <row r="49" spans="1:13" x14ac:dyDescent="0.25">
      <c r="A49" s="28">
        <v>11</v>
      </c>
      <c r="B49" s="43" t="s">
        <v>89</v>
      </c>
      <c r="C49" s="43">
        <v>12</v>
      </c>
      <c r="D49" s="14"/>
      <c r="E49" s="29" t="str">
        <f t="shared" si="12"/>
        <v/>
      </c>
      <c r="F49" s="29" t="str">
        <f t="shared" si="13"/>
        <v/>
      </c>
      <c r="H49" s="28">
        <v>11</v>
      </c>
      <c r="I49" s="43" t="s">
        <v>89</v>
      </c>
      <c r="J49" s="43">
        <v>13</v>
      </c>
      <c r="K49" s="14"/>
      <c r="L49" s="29" t="str">
        <f t="shared" si="14"/>
        <v/>
      </c>
      <c r="M49" s="29" t="str">
        <f t="shared" si="15"/>
        <v/>
      </c>
    </row>
    <row r="50" spans="1:13" x14ac:dyDescent="0.25">
      <c r="A50" s="28">
        <v>12</v>
      </c>
      <c r="B50" s="43" t="s">
        <v>89</v>
      </c>
      <c r="C50" s="43">
        <v>12</v>
      </c>
      <c r="D50" s="14"/>
      <c r="E50" s="29" t="str">
        <f t="shared" si="12"/>
        <v/>
      </c>
      <c r="F50" s="29" t="str">
        <f t="shared" si="13"/>
        <v/>
      </c>
      <c r="H50" s="28">
        <v>12</v>
      </c>
      <c r="I50" s="43" t="s">
        <v>89</v>
      </c>
      <c r="J50" s="43">
        <v>13</v>
      </c>
      <c r="K50" s="14"/>
      <c r="L50" s="29" t="str">
        <f t="shared" si="14"/>
        <v/>
      </c>
      <c r="M50" s="29" t="str">
        <f t="shared" si="15"/>
        <v/>
      </c>
    </row>
    <row r="51" spans="1:13" x14ac:dyDescent="0.25">
      <c r="A51" s="28">
        <v>13</v>
      </c>
      <c r="B51" s="43" t="s">
        <v>89</v>
      </c>
      <c r="C51" s="43">
        <v>12</v>
      </c>
      <c r="D51" s="14"/>
      <c r="E51" s="29" t="str">
        <f t="shared" si="12"/>
        <v/>
      </c>
      <c r="F51" s="29" t="str">
        <f t="shared" si="13"/>
        <v/>
      </c>
      <c r="H51" s="28">
        <v>13</v>
      </c>
      <c r="I51" s="43" t="s">
        <v>89</v>
      </c>
      <c r="J51" s="43">
        <v>13</v>
      </c>
      <c r="K51" s="14"/>
      <c r="L51" s="29" t="str">
        <f t="shared" si="14"/>
        <v/>
      </c>
      <c r="M51" s="29" t="str">
        <f t="shared" si="15"/>
        <v/>
      </c>
    </row>
    <row r="52" spans="1:13" x14ac:dyDescent="0.25">
      <c r="A52" s="28">
        <v>14</v>
      </c>
      <c r="B52" s="43" t="s">
        <v>89</v>
      </c>
      <c r="C52" s="43">
        <v>12</v>
      </c>
      <c r="D52" s="14"/>
      <c r="E52" s="29" t="str">
        <f t="shared" si="12"/>
        <v/>
      </c>
      <c r="F52" s="29" t="str">
        <f t="shared" si="13"/>
        <v/>
      </c>
      <c r="H52" s="28">
        <v>14</v>
      </c>
      <c r="I52" s="43" t="s">
        <v>89</v>
      </c>
      <c r="J52" s="43">
        <v>13</v>
      </c>
      <c r="K52" s="14"/>
      <c r="L52" s="29" t="str">
        <f t="shared" si="14"/>
        <v/>
      </c>
      <c r="M52" s="29" t="str">
        <f t="shared" si="15"/>
        <v/>
      </c>
    </row>
    <row r="53" spans="1:13" x14ac:dyDescent="0.25">
      <c r="A53" s="28">
        <v>15</v>
      </c>
      <c r="B53" s="43" t="s">
        <v>89</v>
      </c>
      <c r="C53" s="43">
        <v>12</v>
      </c>
      <c r="D53" s="14"/>
      <c r="E53" s="29" t="str">
        <f t="shared" si="12"/>
        <v/>
      </c>
      <c r="F53" s="29" t="str">
        <f t="shared" si="13"/>
        <v/>
      </c>
      <c r="H53" s="28">
        <v>15</v>
      </c>
      <c r="I53" s="43" t="s">
        <v>89</v>
      </c>
      <c r="J53" s="43">
        <v>13</v>
      </c>
      <c r="K53" s="14"/>
      <c r="L53" s="29" t="str">
        <f t="shared" si="14"/>
        <v/>
      </c>
      <c r="M53" s="29" t="str">
        <f t="shared" si="15"/>
        <v/>
      </c>
    </row>
    <row r="54" spans="1:13" x14ac:dyDescent="0.25">
      <c r="A54" s="28">
        <v>16</v>
      </c>
      <c r="B54" s="43" t="s">
        <v>89</v>
      </c>
      <c r="C54" s="43">
        <v>12</v>
      </c>
      <c r="D54" s="14"/>
      <c r="E54" s="29" t="str">
        <f t="shared" si="12"/>
        <v/>
      </c>
      <c r="F54" s="29" t="str">
        <f t="shared" si="13"/>
        <v/>
      </c>
      <c r="H54" s="28">
        <v>16</v>
      </c>
      <c r="I54" s="43" t="s">
        <v>89</v>
      </c>
      <c r="J54" s="43">
        <v>13</v>
      </c>
      <c r="K54" s="14"/>
      <c r="L54" s="29" t="str">
        <f t="shared" si="14"/>
        <v/>
      </c>
      <c r="M54" s="29" t="str">
        <f t="shared" si="15"/>
        <v/>
      </c>
    </row>
    <row r="55" spans="1:13" x14ac:dyDescent="0.25">
      <c r="A55" s="28">
        <v>17</v>
      </c>
      <c r="B55" s="43" t="s">
        <v>89</v>
      </c>
      <c r="C55" s="43">
        <v>12</v>
      </c>
      <c r="D55" s="14"/>
      <c r="E55" s="29" t="str">
        <f t="shared" si="12"/>
        <v/>
      </c>
      <c r="F55" s="29" t="str">
        <f t="shared" si="13"/>
        <v/>
      </c>
      <c r="H55" s="28">
        <v>17</v>
      </c>
      <c r="I55" s="43" t="s">
        <v>89</v>
      </c>
      <c r="J55" s="43">
        <v>13</v>
      </c>
      <c r="K55" s="14"/>
      <c r="L55" s="29" t="str">
        <f t="shared" si="14"/>
        <v/>
      </c>
      <c r="M55" s="29" t="str">
        <f t="shared" si="15"/>
        <v/>
      </c>
    </row>
    <row r="56" spans="1:13" x14ac:dyDescent="0.25">
      <c r="A56" s="28">
        <v>18</v>
      </c>
      <c r="B56" s="43" t="s">
        <v>89</v>
      </c>
      <c r="C56" s="43">
        <v>12</v>
      </c>
      <c r="D56" s="14"/>
      <c r="E56" s="29" t="str">
        <f t="shared" si="12"/>
        <v/>
      </c>
      <c r="F56" s="29" t="str">
        <f t="shared" si="13"/>
        <v/>
      </c>
      <c r="H56" s="28">
        <v>18</v>
      </c>
      <c r="I56" s="43" t="s">
        <v>89</v>
      </c>
      <c r="J56" s="43">
        <v>13</v>
      </c>
      <c r="K56" s="14"/>
      <c r="L56" s="29" t="str">
        <f t="shared" si="14"/>
        <v/>
      </c>
      <c r="M56" s="29" t="str">
        <f t="shared" si="15"/>
        <v/>
      </c>
    </row>
    <row r="57" spans="1:13" x14ac:dyDescent="0.25">
      <c r="A57" s="28">
        <v>19</v>
      </c>
      <c r="B57" s="43" t="s">
        <v>89</v>
      </c>
      <c r="C57" s="43">
        <v>12</v>
      </c>
      <c r="D57" s="14"/>
      <c r="E57" s="29" t="str">
        <f t="shared" si="12"/>
        <v/>
      </c>
      <c r="F57" s="29" t="str">
        <f t="shared" si="13"/>
        <v/>
      </c>
      <c r="H57" s="28">
        <v>19</v>
      </c>
      <c r="I57" s="43" t="s">
        <v>89</v>
      </c>
      <c r="J57" s="43">
        <v>13</v>
      </c>
      <c r="K57" s="14"/>
      <c r="L57" s="29" t="str">
        <f t="shared" si="14"/>
        <v/>
      </c>
      <c r="M57" s="29" t="str">
        <f t="shared" si="15"/>
        <v/>
      </c>
    </row>
    <row r="58" spans="1:13" x14ac:dyDescent="0.25">
      <c r="A58" s="28">
        <v>20</v>
      </c>
      <c r="B58" s="43" t="s">
        <v>89</v>
      </c>
      <c r="C58" s="43">
        <v>12</v>
      </c>
      <c r="D58" s="14"/>
      <c r="E58" s="29" t="str">
        <f t="shared" si="12"/>
        <v/>
      </c>
      <c r="F58" s="29" t="str">
        <f t="shared" si="13"/>
        <v/>
      </c>
      <c r="H58" s="28">
        <v>20</v>
      </c>
      <c r="I58" s="43" t="s">
        <v>89</v>
      </c>
      <c r="J58" s="43">
        <v>13</v>
      </c>
      <c r="K58" s="14"/>
      <c r="L58" s="29" t="str">
        <f t="shared" si="14"/>
        <v/>
      </c>
      <c r="M58" s="29" t="str">
        <f t="shared" si="15"/>
        <v/>
      </c>
    </row>
    <row r="59" spans="1:13" x14ac:dyDescent="0.25">
      <c r="A59" s="22">
        <v>14</v>
      </c>
      <c r="B59" s="46"/>
      <c r="C59" s="46"/>
      <c r="D59" s="22"/>
      <c r="E59" s="22"/>
      <c r="F59" s="22"/>
      <c r="H59" s="22" t="s">
        <v>119</v>
      </c>
      <c r="I59" s="46"/>
      <c r="J59" s="46"/>
      <c r="K59" s="22"/>
      <c r="L59" s="22"/>
      <c r="M59" s="22"/>
    </row>
    <row r="60" spans="1:13" ht="23.25" x14ac:dyDescent="0.25">
      <c r="A60" s="20" t="s">
        <v>0</v>
      </c>
      <c r="B60" s="20" t="s">
        <v>30</v>
      </c>
      <c r="C60" s="20" t="s">
        <v>31</v>
      </c>
      <c r="D60" s="42" t="s">
        <v>7</v>
      </c>
      <c r="E60" s="20" t="s">
        <v>2</v>
      </c>
      <c r="F60" s="20" t="s">
        <v>1</v>
      </c>
      <c r="H60" s="20" t="s">
        <v>0</v>
      </c>
      <c r="I60" s="20" t="s">
        <v>30</v>
      </c>
      <c r="J60" s="20" t="s">
        <v>31</v>
      </c>
      <c r="K60" s="42" t="s">
        <v>7</v>
      </c>
      <c r="L60" s="20" t="s">
        <v>2</v>
      </c>
      <c r="M60" s="20" t="s">
        <v>1</v>
      </c>
    </row>
    <row r="61" spans="1:13" x14ac:dyDescent="0.25">
      <c r="A61" s="28">
        <v>1</v>
      </c>
      <c r="B61" s="43" t="s">
        <v>89</v>
      </c>
      <c r="C61" s="43">
        <v>14</v>
      </c>
      <c r="D61" s="14"/>
      <c r="E61" s="29" t="str">
        <f t="shared" ref="E61:E80" si="16">IF(D61&gt;0,VLOOKUP(D61,Jumpers,3),"")</f>
        <v/>
      </c>
      <c r="F61" s="29" t="str">
        <f t="shared" ref="F61:F80" si="17">IF(D61&gt;0,VLOOKUP(D61,Jumpers,2),"")</f>
        <v/>
      </c>
      <c r="H61" s="28">
        <v>1</v>
      </c>
      <c r="I61" s="43" t="s">
        <v>89</v>
      </c>
      <c r="J61" s="43" t="s">
        <v>119</v>
      </c>
      <c r="K61" s="14"/>
      <c r="L61" s="29" t="str">
        <f t="shared" ref="L61:L80" si="18">IF(K61&gt;0,VLOOKUP(K61,Jumpers,3),"")</f>
        <v/>
      </c>
      <c r="M61" s="29" t="str">
        <f t="shared" ref="M61:M80" si="19">IF(K61&gt;0,VLOOKUP(K61,Jumpers,2),"")</f>
        <v/>
      </c>
    </row>
    <row r="62" spans="1:13" x14ac:dyDescent="0.25">
      <c r="A62" s="28">
        <v>2</v>
      </c>
      <c r="B62" s="43" t="s">
        <v>89</v>
      </c>
      <c r="C62" s="43">
        <v>14</v>
      </c>
      <c r="D62" s="14"/>
      <c r="E62" s="29" t="str">
        <f t="shared" si="16"/>
        <v/>
      </c>
      <c r="F62" s="29" t="str">
        <f t="shared" si="17"/>
        <v/>
      </c>
      <c r="H62" s="28">
        <v>2</v>
      </c>
      <c r="I62" s="43" t="s">
        <v>89</v>
      </c>
      <c r="J62" s="43" t="s">
        <v>119</v>
      </c>
      <c r="K62" s="14"/>
      <c r="L62" s="29" t="str">
        <f t="shared" si="18"/>
        <v/>
      </c>
      <c r="M62" s="29" t="str">
        <f t="shared" si="19"/>
        <v/>
      </c>
    </row>
    <row r="63" spans="1:13" x14ac:dyDescent="0.25">
      <c r="A63" s="28">
        <v>3</v>
      </c>
      <c r="B63" s="43" t="s">
        <v>89</v>
      </c>
      <c r="C63" s="43">
        <v>14</v>
      </c>
      <c r="D63" s="14"/>
      <c r="E63" s="29" t="str">
        <f t="shared" si="16"/>
        <v/>
      </c>
      <c r="F63" s="29" t="str">
        <f t="shared" si="17"/>
        <v/>
      </c>
      <c r="H63" s="28">
        <v>3</v>
      </c>
      <c r="I63" s="43" t="s">
        <v>89</v>
      </c>
      <c r="J63" s="43" t="s">
        <v>119</v>
      </c>
      <c r="K63" s="14"/>
      <c r="L63" s="29" t="str">
        <f t="shared" si="18"/>
        <v/>
      </c>
      <c r="M63" s="29" t="str">
        <f t="shared" si="19"/>
        <v/>
      </c>
    </row>
    <row r="64" spans="1:13" x14ac:dyDescent="0.25">
      <c r="A64" s="28">
        <v>4</v>
      </c>
      <c r="B64" s="43" t="s">
        <v>89</v>
      </c>
      <c r="C64" s="43">
        <v>14</v>
      </c>
      <c r="D64" s="14"/>
      <c r="E64" s="29" t="str">
        <f t="shared" si="16"/>
        <v/>
      </c>
      <c r="F64" s="29" t="str">
        <f t="shared" si="17"/>
        <v/>
      </c>
      <c r="H64" s="28">
        <v>4</v>
      </c>
      <c r="I64" s="43" t="s">
        <v>89</v>
      </c>
      <c r="J64" s="43" t="s">
        <v>119</v>
      </c>
      <c r="K64" s="14"/>
      <c r="L64" s="29" t="str">
        <f t="shared" si="18"/>
        <v/>
      </c>
      <c r="M64" s="29" t="str">
        <f t="shared" si="19"/>
        <v/>
      </c>
    </row>
    <row r="65" spans="1:13" x14ac:dyDescent="0.25">
      <c r="A65" s="28">
        <v>5</v>
      </c>
      <c r="B65" s="43" t="s">
        <v>89</v>
      </c>
      <c r="C65" s="43">
        <v>14</v>
      </c>
      <c r="D65" s="14"/>
      <c r="E65" s="29" t="str">
        <f t="shared" si="16"/>
        <v/>
      </c>
      <c r="F65" s="29" t="str">
        <f t="shared" si="17"/>
        <v/>
      </c>
      <c r="H65" s="28">
        <v>5</v>
      </c>
      <c r="I65" s="43" t="s">
        <v>89</v>
      </c>
      <c r="J65" s="43" t="s">
        <v>119</v>
      </c>
      <c r="K65" s="14"/>
      <c r="L65" s="29" t="str">
        <f t="shared" si="18"/>
        <v/>
      </c>
      <c r="M65" s="29" t="str">
        <f t="shared" si="19"/>
        <v/>
      </c>
    </row>
    <row r="66" spans="1:13" x14ac:dyDescent="0.25">
      <c r="A66" s="28">
        <v>6</v>
      </c>
      <c r="B66" s="43" t="s">
        <v>89</v>
      </c>
      <c r="C66" s="43">
        <v>14</v>
      </c>
      <c r="D66" s="14"/>
      <c r="E66" s="29" t="str">
        <f t="shared" si="16"/>
        <v/>
      </c>
      <c r="F66" s="29" t="str">
        <f t="shared" si="17"/>
        <v/>
      </c>
      <c r="H66" s="28">
        <v>6</v>
      </c>
      <c r="I66" s="43" t="s">
        <v>89</v>
      </c>
      <c r="J66" s="43" t="s">
        <v>119</v>
      </c>
      <c r="K66" s="14"/>
      <c r="L66" s="29" t="str">
        <f t="shared" si="18"/>
        <v/>
      </c>
      <c r="M66" s="29" t="str">
        <f t="shared" si="19"/>
        <v/>
      </c>
    </row>
    <row r="67" spans="1:13" x14ac:dyDescent="0.25">
      <c r="A67" s="28">
        <v>7</v>
      </c>
      <c r="B67" s="43" t="s">
        <v>89</v>
      </c>
      <c r="C67" s="43">
        <v>14</v>
      </c>
      <c r="D67" s="14"/>
      <c r="E67" s="29" t="str">
        <f t="shared" si="16"/>
        <v/>
      </c>
      <c r="F67" s="29" t="str">
        <f t="shared" si="17"/>
        <v/>
      </c>
      <c r="H67" s="28">
        <v>7</v>
      </c>
      <c r="I67" s="43" t="s">
        <v>89</v>
      </c>
      <c r="J67" s="43" t="s">
        <v>119</v>
      </c>
      <c r="K67" s="14"/>
      <c r="L67" s="29" t="str">
        <f t="shared" si="18"/>
        <v/>
      </c>
      <c r="M67" s="29" t="str">
        <f t="shared" si="19"/>
        <v/>
      </c>
    </row>
    <row r="68" spans="1:13" x14ac:dyDescent="0.25">
      <c r="A68" s="28">
        <v>8</v>
      </c>
      <c r="B68" s="43" t="s">
        <v>89</v>
      </c>
      <c r="C68" s="43">
        <v>14</v>
      </c>
      <c r="D68" s="14"/>
      <c r="E68" s="29" t="str">
        <f t="shared" si="16"/>
        <v/>
      </c>
      <c r="F68" s="29" t="str">
        <f t="shared" si="17"/>
        <v/>
      </c>
      <c r="H68" s="28">
        <v>8</v>
      </c>
      <c r="I68" s="43" t="s">
        <v>89</v>
      </c>
      <c r="J68" s="43" t="s">
        <v>119</v>
      </c>
      <c r="K68" s="14"/>
      <c r="L68" s="29" t="str">
        <f t="shared" si="18"/>
        <v/>
      </c>
      <c r="M68" s="29" t="str">
        <f t="shared" si="19"/>
        <v/>
      </c>
    </row>
    <row r="69" spans="1:13" x14ac:dyDescent="0.25">
      <c r="A69" s="28">
        <v>9</v>
      </c>
      <c r="B69" s="43" t="s">
        <v>89</v>
      </c>
      <c r="C69" s="43">
        <v>14</v>
      </c>
      <c r="D69" s="14"/>
      <c r="E69" s="29" t="str">
        <f t="shared" si="16"/>
        <v/>
      </c>
      <c r="F69" s="29" t="str">
        <f t="shared" si="17"/>
        <v/>
      </c>
      <c r="H69" s="28">
        <v>9</v>
      </c>
      <c r="I69" s="43" t="s">
        <v>89</v>
      </c>
      <c r="J69" s="43" t="s">
        <v>119</v>
      </c>
      <c r="K69" s="14"/>
      <c r="L69" s="29" t="str">
        <f t="shared" si="18"/>
        <v/>
      </c>
      <c r="M69" s="29" t="str">
        <f t="shared" si="19"/>
        <v/>
      </c>
    </row>
    <row r="70" spans="1:13" x14ac:dyDescent="0.25">
      <c r="A70" s="28">
        <v>10</v>
      </c>
      <c r="B70" s="43" t="s">
        <v>89</v>
      </c>
      <c r="C70" s="43">
        <v>14</v>
      </c>
      <c r="D70" s="14"/>
      <c r="E70" s="29" t="str">
        <f t="shared" si="16"/>
        <v/>
      </c>
      <c r="F70" s="29" t="str">
        <f t="shared" si="17"/>
        <v/>
      </c>
      <c r="H70" s="28">
        <v>10</v>
      </c>
      <c r="I70" s="43" t="s">
        <v>89</v>
      </c>
      <c r="J70" s="43" t="s">
        <v>119</v>
      </c>
      <c r="K70" s="14"/>
      <c r="L70" s="29" t="str">
        <f t="shared" si="18"/>
        <v/>
      </c>
      <c r="M70" s="29" t="str">
        <f t="shared" si="19"/>
        <v/>
      </c>
    </row>
    <row r="71" spans="1:13" x14ac:dyDescent="0.25">
      <c r="A71" s="28">
        <v>11</v>
      </c>
      <c r="B71" s="43" t="s">
        <v>89</v>
      </c>
      <c r="C71" s="43">
        <v>14</v>
      </c>
      <c r="D71" s="14"/>
      <c r="E71" s="29" t="str">
        <f t="shared" si="16"/>
        <v/>
      </c>
      <c r="F71" s="29" t="str">
        <f t="shared" si="17"/>
        <v/>
      </c>
      <c r="H71" s="28">
        <v>11</v>
      </c>
      <c r="I71" s="43" t="s">
        <v>89</v>
      </c>
      <c r="J71" s="43" t="s">
        <v>119</v>
      </c>
      <c r="K71" s="14"/>
      <c r="L71" s="29" t="str">
        <f t="shared" si="18"/>
        <v/>
      </c>
      <c r="M71" s="29" t="str">
        <f t="shared" si="19"/>
        <v/>
      </c>
    </row>
    <row r="72" spans="1:13" x14ac:dyDescent="0.25">
      <c r="A72" s="28">
        <v>12</v>
      </c>
      <c r="B72" s="43" t="s">
        <v>89</v>
      </c>
      <c r="C72" s="43">
        <v>14</v>
      </c>
      <c r="D72" s="14"/>
      <c r="E72" s="29" t="str">
        <f t="shared" si="16"/>
        <v/>
      </c>
      <c r="F72" s="29" t="str">
        <f t="shared" si="17"/>
        <v/>
      </c>
      <c r="H72" s="28">
        <v>12</v>
      </c>
      <c r="I72" s="43" t="s">
        <v>89</v>
      </c>
      <c r="J72" s="43" t="s">
        <v>119</v>
      </c>
      <c r="K72" s="14"/>
      <c r="L72" s="29" t="str">
        <f t="shared" si="18"/>
        <v/>
      </c>
      <c r="M72" s="29" t="str">
        <f t="shared" si="19"/>
        <v/>
      </c>
    </row>
    <row r="73" spans="1:13" x14ac:dyDescent="0.25">
      <c r="A73" s="28">
        <v>13</v>
      </c>
      <c r="B73" s="43" t="s">
        <v>89</v>
      </c>
      <c r="C73" s="43">
        <v>14</v>
      </c>
      <c r="D73" s="14"/>
      <c r="E73" s="29" t="str">
        <f t="shared" si="16"/>
        <v/>
      </c>
      <c r="F73" s="29" t="str">
        <f t="shared" si="17"/>
        <v/>
      </c>
      <c r="H73" s="28">
        <v>13</v>
      </c>
      <c r="I73" s="43" t="s">
        <v>89</v>
      </c>
      <c r="J73" s="43" t="s">
        <v>119</v>
      </c>
      <c r="K73" s="14"/>
      <c r="L73" s="29" t="str">
        <f t="shared" si="18"/>
        <v/>
      </c>
      <c r="M73" s="29" t="str">
        <f t="shared" si="19"/>
        <v/>
      </c>
    </row>
    <row r="74" spans="1:13" x14ac:dyDescent="0.25">
      <c r="A74" s="28">
        <v>14</v>
      </c>
      <c r="B74" s="43" t="s">
        <v>89</v>
      </c>
      <c r="C74" s="43">
        <v>14</v>
      </c>
      <c r="D74" s="14"/>
      <c r="E74" s="29" t="str">
        <f t="shared" si="16"/>
        <v/>
      </c>
      <c r="F74" s="29" t="str">
        <f t="shared" si="17"/>
        <v/>
      </c>
      <c r="H74" s="28">
        <v>14</v>
      </c>
      <c r="I74" s="43" t="s">
        <v>89</v>
      </c>
      <c r="J74" s="43" t="s">
        <v>119</v>
      </c>
      <c r="K74" s="14"/>
      <c r="L74" s="29" t="str">
        <f t="shared" si="18"/>
        <v/>
      </c>
      <c r="M74" s="29" t="str">
        <f t="shared" si="19"/>
        <v/>
      </c>
    </row>
    <row r="75" spans="1:13" x14ac:dyDescent="0.25">
      <c r="A75" s="28">
        <v>15</v>
      </c>
      <c r="B75" s="43" t="s">
        <v>89</v>
      </c>
      <c r="C75" s="43">
        <v>14</v>
      </c>
      <c r="D75" s="14"/>
      <c r="E75" s="29" t="str">
        <f t="shared" si="16"/>
        <v/>
      </c>
      <c r="F75" s="29" t="str">
        <f t="shared" si="17"/>
        <v/>
      </c>
      <c r="H75" s="28">
        <v>15</v>
      </c>
      <c r="I75" s="43" t="s">
        <v>89</v>
      </c>
      <c r="J75" s="43" t="s">
        <v>119</v>
      </c>
      <c r="K75" s="14"/>
      <c r="L75" s="29" t="str">
        <f t="shared" si="18"/>
        <v/>
      </c>
      <c r="M75" s="29" t="str">
        <f t="shared" si="19"/>
        <v/>
      </c>
    </row>
    <row r="76" spans="1:13" x14ac:dyDescent="0.25">
      <c r="A76" s="28">
        <v>16</v>
      </c>
      <c r="B76" s="43" t="s">
        <v>89</v>
      </c>
      <c r="C76" s="43">
        <v>14</v>
      </c>
      <c r="D76" s="14"/>
      <c r="E76" s="29" t="str">
        <f t="shared" si="16"/>
        <v/>
      </c>
      <c r="F76" s="29" t="str">
        <f t="shared" si="17"/>
        <v/>
      </c>
      <c r="H76" s="28">
        <v>16</v>
      </c>
      <c r="I76" s="43" t="s">
        <v>89</v>
      </c>
      <c r="J76" s="43" t="s">
        <v>119</v>
      </c>
      <c r="K76" s="14"/>
      <c r="L76" s="29" t="str">
        <f t="shared" si="18"/>
        <v/>
      </c>
      <c r="M76" s="29" t="str">
        <f t="shared" si="19"/>
        <v/>
      </c>
    </row>
    <row r="77" spans="1:13" x14ac:dyDescent="0.25">
      <c r="A77" s="28">
        <v>17</v>
      </c>
      <c r="B77" s="43" t="s">
        <v>89</v>
      </c>
      <c r="C77" s="43">
        <v>14</v>
      </c>
      <c r="D77" s="14"/>
      <c r="E77" s="29" t="str">
        <f t="shared" si="16"/>
        <v/>
      </c>
      <c r="F77" s="29" t="str">
        <f t="shared" si="17"/>
        <v/>
      </c>
      <c r="H77" s="28">
        <v>17</v>
      </c>
      <c r="I77" s="43" t="s">
        <v>89</v>
      </c>
      <c r="J77" s="43" t="s">
        <v>119</v>
      </c>
      <c r="K77" s="14"/>
      <c r="L77" s="29" t="str">
        <f t="shared" si="18"/>
        <v/>
      </c>
      <c r="M77" s="29" t="str">
        <f t="shared" si="19"/>
        <v/>
      </c>
    </row>
    <row r="78" spans="1:13" x14ac:dyDescent="0.25">
      <c r="A78" s="28">
        <v>18</v>
      </c>
      <c r="B78" s="43" t="s">
        <v>89</v>
      </c>
      <c r="C78" s="43">
        <v>14</v>
      </c>
      <c r="D78" s="14"/>
      <c r="E78" s="29" t="str">
        <f t="shared" si="16"/>
        <v/>
      </c>
      <c r="F78" s="29" t="str">
        <f t="shared" si="17"/>
        <v/>
      </c>
      <c r="H78" s="28">
        <v>18</v>
      </c>
      <c r="I78" s="43" t="s">
        <v>89</v>
      </c>
      <c r="J78" s="43" t="s">
        <v>119</v>
      </c>
      <c r="K78" s="14"/>
      <c r="L78" s="29" t="str">
        <f t="shared" si="18"/>
        <v/>
      </c>
      <c r="M78" s="29" t="str">
        <f t="shared" si="19"/>
        <v/>
      </c>
    </row>
    <row r="79" spans="1:13" x14ac:dyDescent="0.25">
      <c r="A79" s="28">
        <v>19</v>
      </c>
      <c r="B79" s="43" t="s">
        <v>89</v>
      </c>
      <c r="C79" s="43">
        <v>14</v>
      </c>
      <c r="D79" s="14"/>
      <c r="E79" s="29" t="str">
        <f t="shared" si="16"/>
        <v/>
      </c>
      <c r="F79" s="29" t="str">
        <f t="shared" si="17"/>
        <v/>
      </c>
      <c r="H79" s="28">
        <v>19</v>
      </c>
      <c r="I79" s="43" t="s">
        <v>89</v>
      </c>
      <c r="J79" s="43" t="s">
        <v>119</v>
      </c>
      <c r="K79" s="14"/>
      <c r="L79" s="29" t="str">
        <f t="shared" si="18"/>
        <v/>
      </c>
      <c r="M79" s="29" t="str">
        <f t="shared" si="19"/>
        <v/>
      </c>
    </row>
    <row r="80" spans="1:13" x14ac:dyDescent="0.25">
      <c r="A80" s="28">
        <v>20</v>
      </c>
      <c r="B80" s="43" t="s">
        <v>89</v>
      </c>
      <c r="C80" s="43">
        <v>14</v>
      </c>
      <c r="D80" s="14"/>
      <c r="E80" s="29" t="str">
        <f t="shared" si="16"/>
        <v/>
      </c>
      <c r="F80" s="29" t="str">
        <f t="shared" si="17"/>
        <v/>
      </c>
      <c r="H80" s="28">
        <v>20</v>
      </c>
      <c r="I80" s="43" t="s">
        <v>89</v>
      </c>
      <c r="J80" s="43" t="s">
        <v>119</v>
      </c>
      <c r="K80" s="14"/>
      <c r="L80" s="29" t="str">
        <f t="shared" si="18"/>
        <v/>
      </c>
      <c r="M80" s="29" t="str">
        <f t="shared" si="19"/>
        <v/>
      </c>
    </row>
    <row r="81" spans="1:13" x14ac:dyDescent="0.25">
      <c r="A81" s="22" t="s">
        <v>120</v>
      </c>
      <c r="B81" s="46"/>
      <c r="C81" s="46"/>
      <c r="D81" s="22"/>
      <c r="E81" s="22"/>
      <c r="F81" s="22"/>
      <c r="H81" s="22" t="s">
        <v>121</v>
      </c>
      <c r="I81" s="46"/>
      <c r="J81" s="46"/>
      <c r="K81" s="22"/>
      <c r="L81" s="22"/>
      <c r="M81" s="22"/>
    </row>
    <row r="82" spans="1:13" ht="23.25" x14ac:dyDescent="0.25">
      <c r="A82" s="20" t="s">
        <v>0</v>
      </c>
      <c r="B82" s="20" t="s">
        <v>30</v>
      </c>
      <c r="C82" s="20" t="s">
        <v>31</v>
      </c>
      <c r="D82" s="42" t="s">
        <v>7</v>
      </c>
      <c r="E82" s="20" t="s">
        <v>2</v>
      </c>
      <c r="F82" s="20" t="s">
        <v>1</v>
      </c>
      <c r="H82" s="20" t="s">
        <v>0</v>
      </c>
      <c r="I82" s="20" t="s">
        <v>30</v>
      </c>
      <c r="J82" s="20" t="s">
        <v>31</v>
      </c>
      <c r="K82" s="42" t="s">
        <v>7</v>
      </c>
      <c r="L82" s="20" t="s">
        <v>2</v>
      </c>
      <c r="M82" s="20" t="s">
        <v>1</v>
      </c>
    </row>
    <row r="83" spans="1:13" x14ac:dyDescent="0.25">
      <c r="A83" s="28">
        <v>1</v>
      </c>
      <c r="B83" s="43" t="s">
        <v>89</v>
      </c>
      <c r="C83" s="43" t="s">
        <v>120</v>
      </c>
      <c r="D83" s="14"/>
      <c r="E83" s="29" t="str">
        <f t="shared" ref="E83:E102" si="20">IF(D83&gt;0,VLOOKUP(D83,Jumpers,3),"")</f>
        <v/>
      </c>
      <c r="F83" s="29" t="str">
        <f t="shared" ref="F83:F102" si="21">IF(D83&gt;0,VLOOKUP(D83,Jumpers,2),"")</f>
        <v/>
      </c>
      <c r="H83" s="28">
        <v>1</v>
      </c>
      <c r="I83" s="43" t="s">
        <v>89</v>
      </c>
      <c r="J83" s="43" t="s">
        <v>121</v>
      </c>
      <c r="K83" s="14"/>
      <c r="L83" s="29" t="str">
        <f t="shared" ref="L83:L102" si="22">IF(K83&gt;0,VLOOKUP(K83,Jumpers,3),"")</f>
        <v/>
      </c>
      <c r="M83" s="29" t="str">
        <f t="shared" ref="M83:M102" si="23">IF(K83&gt;0,VLOOKUP(K83,Jumpers,2),"")</f>
        <v/>
      </c>
    </row>
    <row r="84" spans="1:13" x14ac:dyDescent="0.25">
      <c r="A84" s="28">
        <v>2</v>
      </c>
      <c r="B84" s="43" t="s">
        <v>89</v>
      </c>
      <c r="C84" s="43" t="s">
        <v>120</v>
      </c>
      <c r="D84" s="14"/>
      <c r="E84" s="29" t="str">
        <f t="shared" si="20"/>
        <v/>
      </c>
      <c r="F84" s="29" t="str">
        <f t="shared" si="21"/>
        <v/>
      </c>
      <c r="H84" s="28">
        <v>2</v>
      </c>
      <c r="I84" s="43" t="s">
        <v>89</v>
      </c>
      <c r="J84" s="43" t="s">
        <v>121</v>
      </c>
      <c r="K84" s="14"/>
      <c r="L84" s="29" t="str">
        <f t="shared" si="22"/>
        <v/>
      </c>
      <c r="M84" s="29" t="str">
        <f t="shared" si="23"/>
        <v/>
      </c>
    </row>
    <row r="85" spans="1:13" x14ac:dyDescent="0.25">
      <c r="A85" s="28">
        <v>3</v>
      </c>
      <c r="B85" s="43" t="s">
        <v>89</v>
      </c>
      <c r="C85" s="43" t="s">
        <v>120</v>
      </c>
      <c r="D85" s="14"/>
      <c r="E85" s="29" t="str">
        <f t="shared" si="20"/>
        <v/>
      </c>
      <c r="F85" s="29" t="str">
        <f t="shared" si="21"/>
        <v/>
      </c>
      <c r="H85" s="28">
        <v>3</v>
      </c>
      <c r="I85" s="43" t="s">
        <v>89</v>
      </c>
      <c r="J85" s="43" t="s">
        <v>121</v>
      </c>
      <c r="K85" s="14"/>
      <c r="L85" s="29" t="str">
        <f t="shared" si="22"/>
        <v/>
      </c>
      <c r="M85" s="29" t="str">
        <f t="shared" si="23"/>
        <v/>
      </c>
    </row>
    <row r="86" spans="1:13" x14ac:dyDescent="0.25">
      <c r="A86" s="28">
        <v>4</v>
      </c>
      <c r="B86" s="43" t="s">
        <v>89</v>
      </c>
      <c r="C86" s="43" t="s">
        <v>120</v>
      </c>
      <c r="D86" s="14"/>
      <c r="E86" s="29" t="str">
        <f t="shared" si="20"/>
        <v/>
      </c>
      <c r="F86" s="29" t="str">
        <f t="shared" si="21"/>
        <v/>
      </c>
      <c r="H86" s="28">
        <v>4</v>
      </c>
      <c r="I86" s="43" t="s">
        <v>89</v>
      </c>
      <c r="J86" s="43" t="s">
        <v>121</v>
      </c>
      <c r="K86" s="14"/>
      <c r="L86" s="29" t="str">
        <f t="shared" si="22"/>
        <v/>
      </c>
      <c r="M86" s="29" t="str">
        <f t="shared" si="23"/>
        <v/>
      </c>
    </row>
    <row r="87" spans="1:13" x14ac:dyDescent="0.25">
      <c r="A87" s="28">
        <v>5</v>
      </c>
      <c r="B87" s="43" t="s">
        <v>89</v>
      </c>
      <c r="C87" s="43" t="s">
        <v>120</v>
      </c>
      <c r="D87" s="14"/>
      <c r="E87" s="29" t="str">
        <f t="shared" si="20"/>
        <v/>
      </c>
      <c r="F87" s="29" t="str">
        <f t="shared" si="21"/>
        <v/>
      </c>
      <c r="H87" s="28">
        <v>5</v>
      </c>
      <c r="I87" s="43" t="s">
        <v>89</v>
      </c>
      <c r="J87" s="43" t="s">
        <v>121</v>
      </c>
      <c r="K87" s="14"/>
      <c r="L87" s="29" t="str">
        <f t="shared" si="22"/>
        <v/>
      </c>
      <c r="M87" s="29" t="str">
        <f t="shared" si="23"/>
        <v/>
      </c>
    </row>
    <row r="88" spans="1:13" x14ac:dyDescent="0.25">
      <c r="A88" s="28">
        <v>6</v>
      </c>
      <c r="B88" s="43" t="s">
        <v>89</v>
      </c>
      <c r="C88" s="43" t="s">
        <v>120</v>
      </c>
      <c r="D88" s="14"/>
      <c r="E88" s="29" t="str">
        <f t="shared" si="20"/>
        <v/>
      </c>
      <c r="F88" s="29" t="str">
        <f t="shared" si="21"/>
        <v/>
      </c>
      <c r="H88" s="28">
        <v>6</v>
      </c>
      <c r="I88" s="43" t="s">
        <v>89</v>
      </c>
      <c r="J88" s="43" t="s">
        <v>121</v>
      </c>
      <c r="K88" s="14"/>
      <c r="L88" s="29" t="str">
        <f t="shared" si="22"/>
        <v/>
      </c>
      <c r="M88" s="29" t="str">
        <f t="shared" si="23"/>
        <v/>
      </c>
    </row>
    <row r="89" spans="1:13" x14ac:dyDescent="0.25">
      <c r="A89" s="28">
        <v>7</v>
      </c>
      <c r="B89" s="43" t="s">
        <v>89</v>
      </c>
      <c r="C89" s="43" t="s">
        <v>120</v>
      </c>
      <c r="D89" s="14"/>
      <c r="E89" s="29" t="str">
        <f t="shared" si="20"/>
        <v/>
      </c>
      <c r="F89" s="29" t="str">
        <f t="shared" si="21"/>
        <v/>
      </c>
      <c r="H89" s="28">
        <v>7</v>
      </c>
      <c r="I89" s="43" t="s">
        <v>89</v>
      </c>
      <c r="J89" s="43" t="s">
        <v>121</v>
      </c>
      <c r="K89" s="14"/>
      <c r="L89" s="29" t="str">
        <f t="shared" si="22"/>
        <v/>
      </c>
      <c r="M89" s="29" t="str">
        <f t="shared" si="23"/>
        <v/>
      </c>
    </row>
    <row r="90" spans="1:13" x14ac:dyDescent="0.25">
      <c r="A90" s="28">
        <v>8</v>
      </c>
      <c r="B90" s="43" t="s">
        <v>89</v>
      </c>
      <c r="C90" s="43" t="s">
        <v>120</v>
      </c>
      <c r="D90" s="14"/>
      <c r="E90" s="29" t="str">
        <f t="shared" si="20"/>
        <v/>
      </c>
      <c r="F90" s="29" t="str">
        <f t="shared" si="21"/>
        <v/>
      </c>
      <c r="H90" s="28">
        <v>8</v>
      </c>
      <c r="I90" s="43" t="s">
        <v>89</v>
      </c>
      <c r="J90" s="43" t="s">
        <v>121</v>
      </c>
      <c r="K90" s="14"/>
      <c r="L90" s="29" t="str">
        <f t="shared" si="22"/>
        <v/>
      </c>
      <c r="M90" s="29" t="str">
        <f t="shared" si="23"/>
        <v/>
      </c>
    </row>
    <row r="91" spans="1:13" x14ac:dyDescent="0.25">
      <c r="A91" s="28">
        <v>9</v>
      </c>
      <c r="B91" s="43" t="s">
        <v>89</v>
      </c>
      <c r="C91" s="43" t="s">
        <v>120</v>
      </c>
      <c r="D91" s="14"/>
      <c r="E91" s="29" t="str">
        <f t="shared" si="20"/>
        <v/>
      </c>
      <c r="F91" s="29" t="str">
        <f t="shared" si="21"/>
        <v/>
      </c>
      <c r="H91" s="28">
        <v>9</v>
      </c>
      <c r="I91" s="43" t="s">
        <v>89</v>
      </c>
      <c r="J91" s="43" t="s">
        <v>121</v>
      </c>
      <c r="K91" s="14"/>
      <c r="L91" s="29" t="str">
        <f t="shared" si="22"/>
        <v/>
      </c>
      <c r="M91" s="29" t="str">
        <f t="shared" si="23"/>
        <v/>
      </c>
    </row>
    <row r="92" spans="1:13" x14ac:dyDescent="0.25">
      <c r="A92" s="28">
        <v>10</v>
      </c>
      <c r="B92" s="43" t="s">
        <v>89</v>
      </c>
      <c r="C92" s="43" t="s">
        <v>120</v>
      </c>
      <c r="D92" s="14"/>
      <c r="E92" s="29" t="str">
        <f t="shared" si="20"/>
        <v/>
      </c>
      <c r="F92" s="29" t="str">
        <f t="shared" si="21"/>
        <v/>
      </c>
      <c r="H92" s="28">
        <v>10</v>
      </c>
      <c r="I92" s="43" t="s">
        <v>89</v>
      </c>
      <c r="J92" s="43" t="s">
        <v>121</v>
      </c>
      <c r="K92" s="14"/>
      <c r="L92" s="29" t="str">
        <f t="shared" si="22"/>
        <v/>
      </c>
      <c r="M92" s="29" t="str">
        <f t="shared" si="23"/>
        <v/>
      </c>
    </row>
    <row r="93" spans="1:13" x14ac:dyDescent="0.25">
      <c r="A93" s="28">
        <v>11</v>
      </c>
      <c r="B93" s="43" t="s">
        <v>89</v>
      </c>
      <c r="C93" s="43" t="s">
        <v>120</v>
      </c>
      <c r="D93" s="14"/>
      <c r="E93" s="29" t="str">
        <f t="shared" si="20"/>
        <v/>
      </c>
      <c r="F93" s="29" t="str">
        <f t="shared" si="21"/>
        <v/>
      </c>
      <c r="H93" s="28">
        <v>11</v>
      </c>
      <c r="I93" s="43" t="s">
        <v>89</v>
      </c>
      <c r="J93" s="43" t="s">
        <v>121</v>
      </c>
      <c r="K93" s="14"/>
      <c r="L93" s="29" t="str">
        <f t="shared" si="22"/>
        <v/>
      </c>
      <c r="M93" s="29" t="str">
        <f t="shared" si="23"/>
        <v/>
      </c>
    </row>
    <row r="94" spans="1:13" x14ac:dyDescent="0.25">
      <c r="A94" s="28">
        <v>12</v>
      </c>
      <c r="B94" s="43" t="s">
        <v>89</v>
      </c>
      <c r="C94" s="43" t="s">
        <v>120</v>
      </c>
      <c r="D94" s="14"/>
      <c r="E94" s="29" t="str">
        <f t="shared" si="20"/>
        <v/>
      </c>
      <c r="F94" s="29" t="str">
        <f t="shared" si="21"/>
        <v/>
      </c>
      <c r="H94" s="28">
        <v>12</v>
      </c>
      <c r="I94" s="43" t="s">
        <v>89</v>
      </c>
      <c r="J94" s="43" t="s">
        <v>121</v>
      </c>
      <c r="K94" s="14"/>
      <c r="L94" s="29" t="str">
        <f t="shared" si="22"/>
        <v/>
      </c>
      <c r="M94" s="29" t="str">
        <f t="shared" si="23"/>
        <v/>
      </c>
    </row>
    <row r="95" spans="1:13" x14ac:dyDescent="0.25">
      <c r="A95" s="28">
        <v>13</v>
      </c>
      <c r="B95" s="43" t="s">
        <v>89</v>
      </c>
      <c r="C95" s="43" t="s">
        <v>120</v>
      </c>
      <c r="D95" s="14"/>
      <c r="E95" s="29" t="str">
        <f t="shared" si="20"/>
        <v/>
      </c>
      <c r="F95" s="29" t="str">
        <f t="shared" si="21"/>
        <v/>
      </c>
      <c r="H95" s="28">
        <v>13</v>
      </c>
      <c r="I95" s="43" t="s">
        <v>89</v>
      </c>
      <c r="J95" s="43" t="s">
        <v>121</v>
      </c>
      <c r="K95" s="14"/>
      <c r="L95" s="29" t="str">
        <f t="shared" si="22"/>
        <v/>
      </c>
      <c r="M95" s="29" t="str">
        <f t="shared" si="23"/>
        <v/>
      </c>
    </row>
    <row r="96" spans="1:13" x14ac:dyDescent="0.25">
      <c r="A96" s="28">
        <v>14</v>
      </c>
      <c r="B96" s="43" t="s">
        <v>89</v>
      </c>
      <c r="C96" s="43" t="s">
        <v>120</v>
      </c>
      <c r="D96" s="14"/>
      <c r="E96" s="29" t="str">
        <f t="shared" si="20"/>
        <v/>
      </c>
      <c r="F96" s="29" t="str">
        <f t="shared" si="21"/>
        <v/>
      </c>
      <c r="H96" s="28">
        <v>14</v>
      </c>
      <c r="I96" s="43" t="s">
        <v>89</v>
      </c>
      <c r="J96" s="43" t="s">
        <v>121</v>
      </c>
      <c r="K96" s="14"/>
      <c r="L96" s="29" t="str">
        <f t="shared" si="22"/>
        <v/>
      </c>
      <c r="M96" s="29" t="str">
        <f t="shared" si="23"/>
        <v/>
      </c>
    </row>
    <row r="97" spans="1:13" x14ac:dyDescent="0.25">
      <c r="A97" s="28">
        <v>15</v>
      </c>
      <c r="B97" s="43" t="s">
        <v>89</v>
      </c>
      <c r="C97" s="43" t="s">
        <v>120</v>
      </c>
      <c r="D97" s="14"/>
      <c r="E97" s="29" t="str">
        <f t="shared" si="20"/>
        <v/>
      </c>
      <c r="F97" s="29" t="str">
        <f t="shared" si="21"/>
        <v/>
      </c>
      <c r="H97" s="28">
        <v>15</v>
      </c>
      <c r="I97" s="43" t="s">
        <v>89</v>
      </c>
      <c r="J97" s="43" t="s">
        <v>121</v>
      </c>
      <c r="K97" s="14"/>
      <c r="L97" s="29" t="str">
        <f t="shared" si="22"/>
        <v/>
      </c>
      <c r="M97" s="29" t="str">
        <f t="shared" si="23"/>
        <v/>
      </c>
    </row>
    <row r="98" spans="1:13" x14ac:dyDescent="0.25">
      <c r="A98" s="28">
        <v>16</v>
      </c>
      <c r="B98" s="43" t="s">
        <v>89</v>
      </c>
      <c r="C98" s="43" t="s">
        <v>120</v>
      </c>
      <c r="D98" s="14"/>
      <c r="E98" s="29" t="str">
        <f t="shared" si="20"/>
        <v/>
      </c>
      <c r="F98" s="29" t="str">
        <f t="shared" si="21"/>
        <v/>
      </c>
      <c r="H98" s="28">
        <v>16</v>
      </c>
      <c r="I98" s="43" t="s">
        <v>89</v>
      </c>
      <c r="J98" s="43" t="s">
        <v>121</v>
      </c>
      <c r="K98" s="14"/>
      <c r="L98" s="29" t="str">
        <f t="shared" si="22"/>
        <v/>
      </c>
      <c r="M98" s="29" t="str">
        <f t="shared" si="23"/>
        <v/>
      </c>
    </row>
    <row r="99" spans="1:13" x14ac:dyDescent="0.25">
      <c r="A99" s="28">
        <v>17</v>
      </c>
      <c r="B99" s="43" t="s">
        <v>89</v>
      </c>
      <c r="C99" s="43" t="s">
        <v>120</v>
      </c>
      <c r="D99" s="14"/>
      <c r="E99" s="29" t="str">
        <f t="shared" si="20"/>
        <v/>
      </c>
      <c r="F99" s="29" t="str">
        <f t="shared" si="21"/>
        <v/>
      </c>
      <c r="H99" s="28">
        <v>17</v>
      </c>
      <c r="I99" s="43" t="s">
        <v>89</v>
      </c>
      <c r="J99" s="43" t="s">
        <v>121</v>
      </c>
      <c r="K99" s="14"/>
      <c r="L99" s="29" t="str">
        <f t="shared" si="22"/>
        <v/>
      </c>
      <c r="M99" s="29" t="str">
        <f t="shared" si="23"/>
        <v/>
      </c>
    </row>
    <row r="100" spans="1:13" x14ac:dyDescent="0.25">
      <c r="A100" s="28">
        <v>18</v>
      </c>
      <c r="B100" s="43" t="s">
        <v>89</v>
      </c>
      <c r="C100" s="43" t="s">
        <v>120</v>
      </c>
      <c r="D100" s="14"/>
      <c r="E100" s="29" t="str">
        <f t="shared" si="20"/>
        <v/>
      </c>
      <c r="F100" s="29" t="str">
        <f t="shared" si="21"/>
        <v/>
      </c>
      <c r="H100" s="28">
        <v>18</v>
      </c>
      <c r="I100" s="43" t="s">
        <v>89</v>
      </c>
      <c r="J100" s="43" t="s">
        <v>121</v>
      </c>
      <c r="K100" s="14"/>
      <c r="L100" s="29" t="str">
        <f t="shared" si="22"/>
        <v/>
      </c>
      <c r="M100" s="29" t="str">
        <f t="shared" si="23"/>
        <v/>
      </c>
    </row>
    <row r="101" spans="1:13" x14ac:dyDescent="0.25">
      <c r="A101" s="28">
        <v>19</v>
      </c>
      <c r="B101" s="43" t="s">
        <v>89</v>
      </c>
      <c r="C101" s="43" t="s">
        <v>120</v>
      </c>
      <c r="D101" s="14"/>
      <c r="E101" s="29" t="str">
        <f t="shared" si="20"/>
        <v/>
      </c>
      <c r="F101" s="29" t="str">
        <f t="shared" si="21"/>
        <v/>
      </c>
      <c r="H101" s="28">
        <v>19</v>
      </c>
      <c r="I101" s="43" t="s">
        <v>89</v>
      </c>
      <c r="J101" s="43" t="s">
        <v>121</v>
      </c>
      <c r="K101" s="14"/>
      <c r="L101" s="29" t="str">
        <f t="shared" si="22"/>
        <v/>
      </c>
      <c r="M101" s="29" t="str">
        <f t="shared" si="23"/>
        <v/>
      </c>
    </row>
    <row r="102" spans="1:13" x14ac:dyDescent="0.25">
      <c r="A102" s="28">
        <v>20</v>
      </c>
      <c r="B102" s="43" t="s">
        <v>89</v>
      </c>
      <c r="C102" s="43" t="s">
        <v>120</v>
      </c>
      <c r="D102" s="14"/>
      <c r="E102" s="29" t="str">
        <f t="shared" si="20"/>
        <v/>
      </c>
      <c r="F102" s="29" t="str">
        <f t="shared" si="21"/>
        <v/>
      </c>
      <c r="H102" s="28">
        <v>20</v>
      </c>
      <c r="I102" s="43" t="s">
        <v>89</v>
      </c>
      <c r="J102" s="43" t="s">
        <v>121</v>
      </c>
      <c r="K102" s="14"/>
      <c r="L102" s="29" t="str">
        <f t="shared" si="22"/>
        <v/>
      </c>
      <c r="M102" s="29" t="str">
        <f t="shared" si="23"/>
        <v/>
      </c>
    </row>
  </sheetData>
  <sheetProtection password="CE88" sheet="1" objects="1" scenarios="1" selectLockedCells="1"/>
  <mergeCells count="1">
    <mergeCell ref="A2:M2"/>
  </mergeCells>
  <conditionalFormatting sqref="D5:D14 K5:K14 D17:D36 K17:K36 D39:D58 K39:K58 D61:D80 K61:K80 D83:D102 K83:K102">
    <cfRule type="expression" dxfId="42" priority="1" stopIfTrue="1">
      <formula>VLOOKUP(D5,Jumpers,5)&lt;&gt;LEFT($A$1,1)</formula>
    </cfRule>
    <cfRule type="expression" dxfId="41" priority="2" stopIfTrue="1">
      <formula>OR(CODE(D5)&lt;48,CODE(D5)&gt;57)</formula>
    </cfRule>
    <cfRule type="expression" dxfId="40" priority="3" stopIfTrue="1">
      <formula>AND(D5&lt;&gt;"",COUNTIF($D$5:$D$102,D5)+COUNTIF($K$5:$K$102,D5)&gt;1)</formula>
    </cfRule>
    <cfRule type="expression" dxfId="39" priority="4" stopIfTrue="1">
      <formula>VLOOKUP(D5,Jumpers,8)&lt;&gt;C5</formula>
    </cfRule>
  </conditionalFormatting>
  <pageMargins left="0.25" right="0.25" top="0.75" bottom="0.75" header="0.3" footer="0.3"/>
  <pageSetup scale="99" fitToHeight="2" orientation="portrait" r:id="rId1"/>
  <headerFooter>
    <oddHeader>&amp;LAAU Regional Tournament&amp;R&amp;A</oddHeader>
    <oddFooter>&amp;RPage &amp;P of &amp;N</oddFooter>
  </headerFooter>
  <customProperties>
    <customPr name="DVSECTION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24"/>
  <sheetViews>
    <sheetView topLeftCell="A3" workbookViewId="0">
      <selection activeCell="D5" sqref="D5:D20"/>
    </sheetView>
  </sheetViews>
  <sheetFormatPr defaultColWidth="8.85546875" defaultRowHeight="15" x14ac:dyDescent="0.25"/>
  <cols>
    <col min="1" max="1" width="2.7109375" customWidth="1"/>
    <col min="2" max="2" width="4.7109375" style="45" bestFit="1" customWidth="1"/>
    <col min="3" max="3" width="7.140625" style="45" bestFit="1" customWidth="1"/>
    <col min="4" max="4" width="8.28515625" bestFit="1" customWidth="1"/>
    <col min="5" max="6" width="18.7109375" customWidth="1"/>
    <col min="7" max="7" width="1.7109375" customWidth="1"/>
    <col min="8" max="8" width="2.7109375" bestFit="1" customWidth="1"/>
    <col min="9" max="9" width="4.7109375" style="45" bestFit="1" customWidth="1"/>
    <col min="10" max="10" width="6.28515625" style="45" bestFit="1" customWidth="1"/>
    <col min="11" max="11" width="8.28515625" bestFit="1" customWidth="1"/>
    <col min="12" max="13" width="18.7109375" customWidth="1"/>
    <col min="14" max="14" width="1.7109375" customWidth="1"/>
    <col min="15" max="15" width="2.7109375" customWidth="1"/>
    <col min="16" max="16" width="4.7109375" bestFit="1" customWidth="1"/>
    <col min="17" max="17" width="4.85546875" bestFit="1" customWidth="1"/>
    <col min="19" max="20" width="12.7109375" customWidth="1"/>
    <col min="21" max="21" width="1.7109375" customWidth="1"/>
    <col min="22" max="22" width="2.7109375" customWidth="1"/>
    <col min="23" max="23" width="4.7109375" bestFit="1" customWidth="1"/>
    <col min="24" max="24" width="4.85546875" bestFit="1" customWidth="1"/>
    <col min="26" max="27" width="12.7109375" customWidth="1"/>
  </cols>
  <sheetData>
    <row r="1" spans="1:13" ht="18.75" x14ac:dyDescent="0.25">
      <c r="A1" s="39" t="s">
        <v>124</v>
      </c>
      <c r="B1" s="44"/>
      <c r="C1" s="44"/>
      <c r="M1" s="34" t="str">
        <f>CONCATENATE("Team: ",'Team Info'!$B$3)</f>
        <v xml:space="preserve">Team: </v>
      </c>
    </row>
    <row r="2" spans="1:13" ht="36" customHeight="1" x14ac:dyDescent="0.25">
      <c r="A2" s="113" t="s">
        <v>82</v>
      </c>
      <c r="B2" s="114"/>
      <c r="C2" s="114"/>
      <c r="D2" s="114"/>
      <c r="E2" s="114"/>
      <c r="F2" s="114"/>
      <c r="G2" s="114"/>
      <c r="H2" s="114"/>
      <c r="I2" s="114"/>
      <c r="J2" s="114"/>
      <c r="K2" s="114"/>
      <c r="L2" s="114"/>
      <c r="M2" s="114"/>
    </row>
    <row r="3" spans="1:13" x14ac:dyDescent="0.25">
      <c r="A3" s="22" t="s">
        <v>125</v>
      </c>
      <c r="B3" s="46"/>
      <c r="C3" s="46"/>
      <c r="D3" s="22"/>
      <c r="E3" s="22"/>
      <c r="F3" s="22"/>
      <c r="H3" s="22" t="s">
        <v>126</v>
      </c>
      <c r="I3" s="46"/>
      <c r="J3" s="46"/>
      <c r="K3" s="22"/>
      <c r="L3" s="22"/>
      <c r="M3" s="22"/>
    </row>
    <row r="4" spans="1:13" ht="23.25" x14ac:dyDescent="0.25">
      <c r="A4" s="20" t="s">
        <v>0</v>
      </c>
      <c r="B4" s="20" t="s">
        <v>30</v>
      </c>
      <c r="C4" s="20" t="s">
        <v>31</v>
      </c>
      <c r="D4" s="42" t="s">
        <v>7</v>
      </c>
      <c r="E4" s="20" t="s">
        <v>2</v>
      </c>
      <c r="F4" s="20" t="s">
        <v>1</v>
      </c>
      <c r="H4" s="20" t="s">
        <v>0</v>
      </c>
      <c r="I4" s="20" t="s">
        <v>30</v>
      </c>
      <c r="J4" s="20" t="s">
        <v>31</v>
      </c>
      <c r="K4" s="42" t="s">
        <v>7</v>
      </c>
      <c r="L4" s="20" t="s">
        <v>2</v>
      </c>
      <c r="M4" s="20" t="s">
        <v>1</v>
      </c>
    </row>
    <row r="5" spans="1:13" x14ac:dyDescent="0.25">
      <c r="A5" s="43">
        <v>1</v>
      </c>
      <c r="B5" s="43" t="s">
        <v>128</v>
      </c>
      <c r="C5" s="43" t="s">
        <v>123</v>
      </c>
      <c r="D5" s="14"/>
      <c r="E5" s="29" t="str">
        <f t="shared" ref="E5:E12" si="0">IF(D5&gt;0,VLOOKUP(D5,Jumpers,3),"")</f>
        <v/>
      </c>
      <c r="F5" s="29" t="str">
        <f t="shared" ref="F5:F12" si="1">IF(D5&gt;0,VLOOKUP(D5,Jumpers,2),"")</f>
        <v/>
      </c>
      <c r="H5" s="43">
        <v>1</v>
      </c>
      <c r="I5" s="43" t="s">
        <v>127</v>
      </c>
      <c r="J5" s="43" t="s">
        <v>123</v>
      </c>
      <c r="K5" s="14"/>
      <c r="L5" s="29" t="str">
        <f t="shared" ref="L5:L12" si="2">IF(K5&gt;0,VLOOKUP(K5,Jumpers,3),"")</f>
        <v/>
      </c>
      <c r="M5" s="29" t="str">
        <f t="shared" ref="M5:M12" si="3">IF(K5&gt;0,VLOOKUP(K5,Jumpers,2),"")</f>
        <v/>
      </c>
    </row>
    <row r="6" spans="1:13" x14ac:dyDescent="0.25">
      <c r="A6" s="43">
        <v>2</v>
      </c>
      <c r="B6" s="43" t="s">
        <v>128</v>
      </c>
      <c r="C6" s="43" t="s">
        <v>123</v>
      </c>
      <c r="D6" s="14"/>
      <c r="E6" s="29" t="str">
        <f t="shared" si="0"/>
        <v/>
      </c>
      <c r="F6" s="29" t="str">
        <f t="shared" si="1"/>
        <v/>
      </c>
      <c r="H6" s="43">
        <v>2</v>
      </c>
      <c r="I6" s="43" t="s">
        <v>127</v>
      </c>
      <c r="J6" s="43" t="s">
        <v>123</v>
      </c>
      <c r="K6" s="14"/>
      <c r="L6" s="29" t="str">
        <f t="shared" si="2"/>
        <v/>
      </c>
      <c r="M6" s="29" t="str">
        <f t="shared" si="3"/>
        <v/>
      </c>
    </row>
    <row r="7" spans="1:13" x14ac:dyDescent="0.25">
      <c r="A7" s="43">
        <v>3</v>
      </c>
      <c r="B7" s="43" t="s">
        <v>128</v>
      </c>
      <c r="C7" s="43" t="s">
        <v>123</v>
      </c>
      <c r="D7" s="14"/>
      <c r="E7" s="29" t="str">
        <f t="shared" si="0"/>
        <v/>
      </c>
      <c r="F7" s="29" t="str">
        <f t="shared" si="1"/>
        <v/>
      </c>
      <c r="H7" s="43">
        <v>3</v>
      </c>
      <c r="I7" s="43" t="s">
        <v>127</v>
      </c>
      <c r="J7" s="43" t="s">
        <v>123</v>
      </c>
      <c r="K7" s="14"/>
      <c r="L7" s="29" t="str">
        <f t="shared" si="2"/>
        <v/>
      </c>
      <c r="M7" s="29" t="str">
        <f t="shared" si="3"/>
        <v/>
      </c>
    </row>
    <row r="8" spans="1:13" x14ac:dyDescent="0.25">
      <c r="A8" s="43">
        <v>4</v>
      </c>
      <c r="B8" s="43" t="s">
        <v>128</v>
      </c>
      <c r="C8" s="43" t="s">
        <v>123</v>
      </c>
      <c r="D8" s="14"/>
      <c r="E8" s="29" t="str">
        <f t="shared" si="0"/>
        <v/>
      </c>
      <c r="F8" s="29" t="str">
        <f t="shared" si="1"/>
        <v/>
      </c>
      <c r="H8" s="43">
        <v>4</v>
      </c>
      <c r="I8" s="43" t="s">
        <v>127</v>
      </c>
      <c r="J8" s="43" t="s">
        <v>123</v>
      </c>
      <c r="K8" s="14"/>
      <c r="L8" s="29" t="str">
        <f t="shared" si="2"/>
        <v/>
      </c>
      <c r="M8" s="29" t="str">
        <f t="shared" si="3"/>
        <v/>
      </c>
    </row>
    <row r="9" spans="1:13" x14ac:dyDescent="0.25">
      <c r="A9" s="43">
        <v>5</v>
      </c>
      <c r="B9" s="43" t="s">
        <v>128</v>
      </c>
      <c r="C9" s="43" t="s">
        <v>123</v>
      </c>
      <c r="D9" s="14"/>
      <c r="E9" s="29" t="str">
        <f t="shared" si="0"/>
        <v/>
      </c>
      <c r="F9" s="29" t="str">
        <f t="shared" si="1"/>
        <v/>
      </c>
      <c r="H9" s="43">
        <v>5</v>
      </c>
      <c r="I9" s="43" t="s">
        <v>127</v>
      </c>
      <c r="J9" s="43" t="s">
        <v>123</v>
      </c>
      <c r="K9" s="14"/>
      <c r="L9" s="29" t="str">
        <f t="shared" si="2"/>
        <v/>
      </c>
      <c r="M9" s="29" t="str">
        <f t="shared" si="3"/>
        <v/>
      </c>
    </row>
    <row r="10" spans="1:13" x14ac:dyDescent="0.25">
      <c r="A10" s="43">
        <v>6</v>
      </c>
      <c r="B10" s="43" t="s">
        <v>128</v>
      </c>
      <c r="C10" s="43" t="s">
        <v>123</v>
      </c>
      <c r="D10" s="14"/>
      <c r="E10" s="29" t="str">
        <f t="shared" si="0"/>
        <v/>
      </c>
      <c r="F10" s="29" t="str">
        <f t="shared" si="1"/>
        <v/>
      </c>
      <c r="H10" s="43">
        <v>6</v>
      </c>
      <c r="I10" s="43" t="s">
        <v>127</v>
      </c>
      <c r="J10" s="43" t="s">
        <v>123</v>
      </c>
      <c r="K10" s="14"/>
      <c r="L10" s="29" t="str">
        <f t="shared" si="2"/>
        <v/>
      </c>
      <c r="M10" s="29" t="str">
        <f t="shared" si="3"/>
        <v/>
      </c>
    </row>
    <row r="11" spans="1:13" x14ac:dyDescent="0.25">
      <c r="A11" s="43">
        <v>7</v>
      </c>
      <c r="B11" s="43" t="s">
        <v>128</v>
      </c>
      <c r="C11" s="43" t="s">
        <v>123</v>
      </c>
      <c r="D11" s="14"/>
      <c r="E11" s="29" t="str">
        <f t="shared" si="0"/>
        <v/>
      </c>
      <c r="F11" s="29" t="str">
        <f t="shared" si="1"/>
        <v/>
      </c>
      <c r="H11" s="43">
        <v>7</v>
      </c>
      <c r="I11" s="43" t="s">
        <v>127</v>
      </c>
      <c r="J11" s="43" t="s">
        <v>123</v>
      </c>
      <c r="K11" s="14"/>
      <c r="L11" s="29" t="str">
        <f t="shared" si="2"/>
        <v/>
      </c>
      <c r="M11" s="29" t="str">
        <f t="shared" si="3"/>
        <v/>
      </c>
    </row>
    <row r="12" spans="1:13" x14ac:dyDescent="0.25">
      <c r="A12" s="43">
        <v>8</v>
      </c>
      <c r="B12" s="43" t="s">
        <v>128</v>
      </c>
      <c r="C12" s="43" t="s">
        <v>123</v>
      </c>
      <c r="D12" s="14"/>
      <c r="E12" s="29" t="str">
        <f t="shared" si="0"/>
        <v/>
      </c>
      <c r="F12" s="29" t="str">
        <f t="shared" si="1"/>
        <v/>
      </c>
      <c r="H12" s="43">
        <v>8</v>
      </c>
      <c r="I12" s="43" t="s">
        <v>127</v>
      </c>
      <c r="J12" s="43" t="s">
        <v>123</v>
      </c>
      <c r="K12" s="14"/>
      <c r="L12" s="29" t="str">
        <f t="shared" si="2"/>
        <v/>
      </c>
      <c r="M12" s="29" t="str">
        <f t="shared" si="3"/>
        <v/>
      </c>
    </row>
    <row r="13" spans="1:13" x14ac:dyDescent="0.25">
      <c r="A13" s="43">
        <v>9</v>
      </c>
      <c r="B13" s="43" t="s">
        <v>128</v>
      </c>
      <c r="C13" s="43" t="s">
        <v>123</v>
      </c>
      <c r="D13" s="14"/>
      <c r="E13" s="29" t="str">
        <f t="shared" ref="E13:E24" si="4">IF(D13&gt;0,VLOOKUP(D13,Jumpers,3),"")</f>
        <v/>
      </c>
      <c r="F13" s="29" t="str">
        <f t="shared" ref="F13:F24" si="5">IF(D13&gt;0,VLOOKUP(D13,Jumpers,2),"")</f>
        <v/>
      </c>
      <c r="H13" s="43">
        <v>9</v>
      </c>
      <c r="I13" s="43" t="s">
        <v>127</v>
      </c>
      <c r="J13" s="43" t="s">
        <v>123</v>
      </c>
      <c r="K13" s="14"/>
      <c r="L13" s="29" t="str">
        <f t="shared" ref="L13:L24" si="6">IF(K13&gt;0,VLOOKUP(K13,Jumpers,3),"")</f>
        <v/>
      </c>
      <c r="M13" s="29" t="str">
        <f t="shared" ref="M13:M24" si="7">IF(K13&gt;0,VLOOKUP(K13,Jumpers,2),"")</f>
        <v/>
      </c>
    </row>
    <row r="14" spans="1:13" x14ac:dyDescent="0.25">
      <c r="A14" s="43">
        <v>10</v>
      </c>
      <c r="B14" s="43" t="s">
        <v>128</v>
      </c>
      <c r="C14" s="43" t="s">
        <v>123</v>
      </c>
      <c r="D14" s="14"/>
      <c r="E14" s="29" t="str">
        <f t="shared" si="4"/>
        <v/>
      </c>
      <c r="F14" s="29" t="str">
        <f t="shared" si="5"/>
        <v/>
      </c>
      <c r="H14" s="43">
        <v>10</v>
      </c>
      <c r="I14" s="43" t="s">
        <v>127</v>
      </c>
      <c r="J14" s="43" t="s">
        <v>123</v>
      </c>
      <c r="K14" s="14"/>
      <c r="L14" s="29" t="str">
        <f t="shared" si="6"/>
        <v/>
      </c>
      <c r="M14" s="29" t="str">
        <f t="shared" si="7"/>
        <v/>
      </c>
    </row>
    <row r="15" spans="1:13" x14ac:dyDescent="0.25">
      <c r="A15" s="43">
        <v>11</v>
      </c>
      <c r="B15" s="43" t="s">
        <v>128</v>
      </c>
      <c r="C15" s="43" t="s">
        <v>123</v>
      </c>
      <c r="D15" s="14"/>
      <c r="E15" s="29" t="str">
        <f t="shared" si="4"/>
        <v/>
      </c>
      <c r="F15" s="29" t="str">
        <f t="shared" si="5"/>
        <v/>
      </c>
      <c r="H15" s="43">
        <v>11</v>
      </c>
      <c r="I15" s="43" t="s">
        <v>127</v>
      </c>
      <c r="J15" s="43" t="s">
        <v>123</v>
      </c>
      <c r="K15" s="14"/>
      <c r="L15" s="29" t="str">
        <f t="shared" si="6"/>
        <v/>
      </c>
      <c r="M15" s="29" t="str">
        <f t="shared" si="7"/>
        <v/>
      </c>
    </row>
    <row r="16" spans="1:13" x14ac:dyDescent="0.25">
      <c r="A16" s="43">
        <v>12</v>
      </c>
      <c r="B16" s="43" t="s">
        <v>128</v>
      </c>
      <c r="C16" s="43" t="s">
        <v>123</v>
      </c>
      <c r="D16" s="14"/>
      <c r="E16" s="29" t="str">
        <f t="shared" si="4"/>
        <v/>
      </c>
      <c r="F16" s="29" t="str">
        <f t="shared" si="5"/>
        <v/>
      </c>
      <c r="H16" s="43">
        <v>12</v>
      </c>
      <c r="I16" s="43" t="s">
        <v>127</v>
      </c>
      <c r="J16" s="43" t="s">
        <v>123</v>
      </c>
      <c r="K16" s="14"/>
      <c r="L16" s="29" t="str">
        <f t="shared" si="6"/>
        <v/>
      </c>
      <c r="M16" s="29" t="str">
        <f t="shared" si="7"/>
        <v/>
      </c>
    </row>
    <row r="17" spans="1:13" x14ac:dyDescent="0.25">
      <c r="A17" s="43">
        <v>13</v>
      </c>
      <c r="B17" s="43" t="s">
        <v>128</v>
      </c>
      <c r="C17" s="43" t="s">
        <v>123</v>
      </c>
      <c r="D17" s="14"/>
      <c r="E17" s="29" t="str">
        <f t="shared" si="4"/>
        <v/>
      </c>
      <c r="F17" s="29" t="str">
        <f t="shared" si="5"/>
        <v/>
      </c>
      <c r="H17" s="43">
        <v>13</v>
      </c>
      <c r="I17" s="43" t="s">
        <v>127</v>
      </c>
      <c r="J17" s="43" t="s">
        <v>123</v>
      </c>
      <c r="K17" s="14"/>
      <c r="L17" s="29" t="str">
        <f t="shared" si="6"/>
        <v/>
      </c>
      <c r="M17" s="29" t="str">
        <f t="shared" si="7"/>
        <v/>
      </c>
    </row>
    <row r="18" spans="1:13" x14ac:dyDescent="0.25">
      <c r="A18" s="43">
        <v>14</v>
      </c>
      <c r="B18" s="43" t="s">
        <v>128</v>
      </c>
      <c r="C18" s="43" t="s">
        <v>123</v>
      </c>
      <c r="D18" s="14"/>
      <c r="E18" s="29" t="str">
        <f t="shared" si="4"/>
        <v/>
      </c>
      <c r="F18" s="29" t="str">
        <f t="shared" si="5"/>
        <v/>
      </c>
      <c r="H18" s="43">
        <v>14</v>
      </c>
      <c r="I18" s="43" t="s">
        <v>127</v>
      </c>
      <c r="J18" s="43" t="s">
        <v>123</v>
      </c>
      <c r="K18" s="14"/>
      <c r="L18" s="29" t="str">
        <f t="shared" si="6"/>
        <v/>
      </c>
      <c r="M18" s="29" t="str">
        <f t="shared" si="7"/>
        <v/>
      </c>
    </row>
    <row r="19" spans="1:13" x14ac:dyDescent="0.25">
      <c r="A19" s="43">
        <v>15</v>
      </c>
      <c r="B19" s="43" t="s">
        <v>128</v>
      </c>
      <c r="C19" s="43" t="s">
        <v>123</v>
      </c>
      <c r="D19" s="14"/>
      <c r="E19" s="29" t="str">
        <f t="shared" si="4"/>
        <v/>
      </c>
      <c r="F19" s="29" t="str">
        <f t="shared" si="5"/>
        <v/>
      </c>
      <c r="H19" s="43">
        <v>15</v>
      </c>
      <c r="I19" s="43" t="s">
        <v>127</v>
      </c>
      <c r="J19" s="43" t="s">
        <v>123</v>
      </c>
      <c r="K19" s="14"/>
      <c r="L19" s="29" t="str">
        <f t="shared" si="6"/>
        <v/>
      </c>
      <c r="M19" s="29" t="str">
        <f t="shared" si="7"/>
        <v/>
      </c>
    </row>
    <row r="20" spans="1:13" x14ac:dyDescent="0.25">
      <c r="A20" s="43">
        <v>16</v>
      </c>
      <c r="B20" s="43" t="s">
        <v>128</v>
      </c>
      <c r="C20" s="43" t="s">
        <v>123</v>
      </c>
      <c r="D20" s="14"/>
      <c r="E20" s="29" t="str">
        <f t="shared" si="4"/>
        <v/>
      </c>
      <c r="F20" s="29" t="str">
        <f t="shared" si="5"/>
        <v/>
      </c>
      <c r="H20" s="43">
        <v>16</v>
      </c>
      <c r="I20" s="43" t="s">
        <v>127</v>
      </c>
      <c r="J20" s="43" t="s">
        <v>123</v>
      </c>
      <c r="K20" s="14"/>
      <c r="L20" s="29" t="str">
        <f t="shared" si="6"/>
        <v/>
      </c>
      <c r="M20" s="29" t="str">
        <f t="shared" si="7"/>
        <v/>
      </c>
    </row>
    <row r="21" spans="1:13" x14ac:dyDescent="0.25">
      <c r="A21" s="43">
        <v>17</v>
      </c>
      <c r="B21" s="43" t="s">
        <v>128</v>
      </c>
      <c r="C21" s="43" t="s">
        <v>123</v>
      </c>
      <c r="D21" s="14"/>
      <c r="E21" s="29" t="str">
        <f t="shared" si="4"/>
        <v/>
      </c>
      <c r="F21" s="29" t="str">
        <f t="shared" si="5"/>
        <v/>
      </c>
      <c r="H21" s="43">
        <v>17</v>
      </c>
      <c r="I21" s="43" t="s">
        <v>127</v>
      </c>
      <c r="J21" s="43" t="s">
        <v>123</v>
      </c>
      <c r="K21" s="14"/>
      <c r="L21" s="29" t="str">
        <f t="shared" si="6"/>
        <v/>
      </c>
      <c r="M21" s="29" t="str">
        <f t="shared" si="7"/>
        <v/>
      </c>
    </row>
    <row r="22" spans="1:13" x14ac:dyDescent="0.25">
      <c r="A22" s="43">
        <v>18</v>
      </c>
      <c r="B22" s="43" t="s">
        <v>128</v>
      </c>
      <c r="C22" s="43" t="s">
        <v>123</v>
      </c>
      <c r="D22" s="14"/>
      <c r="E22" s="29" t="str">
        <f t="shared" si="4"/>
        <v/>
      </c>
      <c r="F22" s="29" t="str">
        <f t="shared" si="5"/>
        <v/>
      </c>
      <c r="H22" s="43">
        <v>18</v>
      </c>
      <c r="I22" s="43" t="s">
        <v>127</v>
      </c>
      <c r="J22" s="43" t="s">
        <v>123</v>
      </c>
      <c r="K22" s="14"/>
      <c r="L22" s="29" t="str">
        <f t="shared" si="6"/>
        <v/>
      </c>
      <c r="M22" s="29" t="str">
        <f t="shared" si="7"/>
        <v/>
      </c>
    </row>
    <row r="23" spans="1:13" x14ac:dyDescent="0.25">
      <c r="A23" s="43">
        <v>19</v>
      </c>
      <c r="B23" s="43" t="s">
        <v>128</v>
      </c>
      <c r="C23" s="43" t="s">
        <v>123</v>
      </c>
      <c r="D23" s="14"/>
      <c r="E23" s="29" t="str">
        <f t="shared" si="4"/>
        <v/>
      </c>
      <c r="F23" s="29" t="str">
        <f t="shared" si="5"/>
        <v/>
      </c>
      <c r="H23" s="43">
        <v>19</v>
      </c>
      <c r="I23" s="43" t="s">
        <v>127</v>
      </c>
      <c r="J23" s="43" t="s">
        <v>123</v>
      </c>
      <c r="K23" s="14"/>
      <c r="L23" s="29" t="str">
        <f t="shared" si="6"/>
        <v/>
      </c>
      <c r="M23" s="29" t="str">
        <f t="shared" si="7"/>
        <v/>
      </c>
    </row>
    <row r="24" spans="1:13" x14ac:dyDescent="0.25">
      <c r="A24" s="43">
        <v>20</v>
      </c>
      <c r="B24" s="43" t="s">
        <v>128</v>
      </c>
      <c r="C24" s="43" t="s">
        <v>123</v>
      </c>
      <c r="D24" s="14"/>
      <c r="E24" s="29" t="str">
        <f t="shared" si="4"/>
        <v/>
      </c>
      <c r="F24" s="29" t="str">
        <f t="shared" si="5"/>
        <v/>
      </c>
      <c r="H24" s="43">
        <v>20</v>
      </c>
      <c r="I24" s="43" t="s">
        <v>127</v>
      </c>
      <c r="J24" s="43" t="s">
        <v>123</v>
      </c>
      <c r="K24" s="14"/>
      <c r="L24" s="29" t="str">
        <f t="shared" si="6"/>
        <v/>
      </c>
      <c r="M24" s="29" t="str">
        <f t="shared" si="7"/>
        <v/>
      </c>
    </row>
  </sheetData>
  <sheetProtection password="CE88" sheet="1" objects="1" scenarios="1" selectLockedCells="1"/>
  <mergeCells count="1">
    <mergeCell ref="A2:M2"/>
  </mergeCells>
  <conditionalFormatting sqref="D5:D24 K5:K24">
    <cfRule type="expression" dxfId="38" priority="1">
      <formula>VLOOKUP(D5,Jumpers,7)&lt;15</formula>
    </cfRule>
    <cfRule type="expression" dxfId="37" priority="3" stopIfTrue="1">
      <formula>AND(D5&lt;&gt;"",COUNTIF($D$5:$D$47,D5)+COUNTIF($K$5:$K$47,D5)&gt;1)</formula>
    </cfRule>
    <cfRule type="expression" dxfId="36" priority="6" stopIfTrue="1">
      <formula>OR(CODE(D5)&lt;48,CODE(D5)&gt;57)</formula>
    </cfRule>
  </conditionalFormatting>
  <conditionalFormatting sqref="D5:D24">
    <cfRule type="expression" dxfId="35" priority="7" stopIfTrue="1">
      <formula>VLOOKUP(D5,Jumpers,5)&lt;&gt;LEFT($A$3,1)</formula>
    </cfRule>
  </conditionalFormatting>
  <conditionalFormatting sqref="K5:K24">
    <cfRule type="expression" dxfId="34" priority="8" stopIfTrue="1">
      <formula>VLOOKUP(K5,Jumpers,5)&lt;&gt;LEFT($H$3,1)</formula>
    </cfRule>
  </conditionalFormatting>
  <pageMargins left="0.25" right="0.25" top="0.75" bottom="0.75" header="0.3" footer="0.3"/>
  <pageSetup orientation="portrait" r:id="rId1"/>
  <headerFooter>
    <oddHeader>&amp;LAAU Regional Tournament&amp;R&amp;A</oddHeader>
    <oddFooter>&amp;RPage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K64"/>
  <sheetViews>
    <sheetView workbookViewId="0">
      <selection activeCell="D5" sqref="D5:D12"/>
    </sheetView>
  </sheetViews>
  <sheetFormatPr defaultColWidth="8.85546875" defaultRowHeight="15" x14ac:dyDescent="0.25"/>
  <cols>
    <col min="1" max="1" width="4.28515625" customWidth="1"/>
    <col min="2" max="2" width="4.7109375" bestFit="1" customWidth="1"/>
    <col min="4" max="4" width="8.28515625" bestFit="1" customWidth="1"/>
    <col min="5" max="5" width="20.7109375" customWidth="1"/>
    <col min="6" max="6" width="8.28515625" bestFit="1" customWidth="1"/>
    <col min="7" max="7" width="20.7109375" customWidth="1"/>
  </cols>
  <sheetData>
    <row r="1" spans="1:11" ht="18.75" x14ac:dyDescent="0.3">
      <c r="A1" s="50" t="s">
        <v>75</v>
      </c>
      <c r="G1" s="34" t="str">
        <f>CONCATENATE("Team: ",'Team Info'!$B$3)</f>
        <v xml:space="preserve">Team: </v>
      </c>
    </row>
    <row r="2" spans="1:11" ht="63.75" customHeight="1" x14ac:dyDescent="0.25">
      <c r="A2" s="113" t="s">
        <v>132</v>
      </c>
      <c r="B2" s="115"/>
      <c r="C2" s="115"/>
      <c r="D2" s="115"/>
      <c r="E2" s="115"/>
      <c r="F2" s="115"/>
      <c r="G2" s="115"/>
      <c r="H2" s="45"/>
      <c r="I2" s="45"/>
      <c r="J2" s="45"/>
      <c r="K2" s="45"/>
    </row>
    <row r="3" spans="1:11" x14ac:dyDescent="0.25">
      <c r="A3" s="22" t="s">
        <v>70</v>
      </c>
      <c r="B3" s="46"/>
      <c r="C3" s="46"/>
      <c r="D3" s="22"/>
      <c r="E3" s="22"/>
      <c r="F3" s="22"/>
      <c r="G3" s="22"/>
    </row>
    <row r="4" spans="1:11" ht="23.25" x14ac:dyDescent="0.25">
      <c r="A4" s="20" t="s">
        <v>0</v>
      </c>
      <c r="B4" s="20" t="s">
        <v>30</v>
      </c>
      <c r="C4" s="20" t="s">
        <v>31</v>
      </c>
      <c r="D4" s="42" t="s">
        <v>7</v>
      </c>
      <c r="E4" s="20" t="s">
        <v>35</v>
      </c>
      <c r="F4" s="42" t="s">
        <v>7</v>
      </c>
      <c r="G4" s="20" t="s">
        <v>35</v>
      </c>
    </row>
    <row r="5" spans="1:11" x14ac:dyDescent="0.25">
      <c r="A5" s="28">
        <v>1</v>
      </c>
      <c r="B5" s="43" t="s">
        <v>76</v>
      </c>
      <c r="C5" s="43" t="s">
        <v>71</v>
      </c>
      <c r="D5" s="15"/>
      <c r="E5" s="21" t="str">
        <f t="shared" ref="E5:E12" si="0">IF(D5&gt;0,VLOOKUP(D5,Jumpers,3)&amp;", "&amp;VLOOKUP(D5,Jumpers,2)&amp;" ("&amp;VLOOKUP(D5,Jumpers,7)&amp;")","")</f>
        <v/>
      </c>
      <c r="F5" s="15"/>
      <c r="G5" s="21" t="str">
        <f t="shared" ref="G5:G12" si="1">IF(F5&gt;0,VLOOKUP(F5,Jumpers,3)&amp;", "&amp;VLOOKUP(F5,Jumpers,2)&amp;" ("&amp;VLOOKUP(F5,Jumpers,7)&amp;")","")</f>
        <v/>
      </c>
    </row>
    <row r="6" spans="1:11" x14ac:dyDescent="0.25">
      <c r="A6" s="28">
        <v>2</v>
      </c>
      <c r="B6" s="43" t="s">
        <v>76</v>
      </c>
      <c r="C6" s="43" t="s">
        <v>71</v>
      </c>
      <c r="D6" s="15"/>
      <c r="E6" s="21" t="str">
        <f t="shared" si="0"/>
        <v/>
      </c>
      <c r="F6" s="15"/>
      <c r="G6" s="21" t="str">
        <f t="shared" si="1"/>
        <v/>
      </c>
    </row>
    <row r="7" spans="1:11" x14ac:dyDescent="0.25">
      <c r="A7" s="28">
        <v>3</v>
      </c>
      <c r="B7" s="43" t="s">
        <v>76</v>
      </c>
      <c r="C7" s="43" t="s">
        <v>71</v>
      </c>
      <c r="D7" s="15"/>
      <c r="E7" s="21" t="str">
        <f t="shared" si="0"/>
        <v/>
      </c>
      <c r="F7" s="15"/>
      <c r="G7" s="21" t="str">
        <f t="shared" si="1"/>
        <v/>
      </c>
    </row>
    <row r="8" spans="1:11" x14ac:dyDescent="0.25">
      <c r="A8" s="28">
        <v>4</v>
      </c>
      <c r="B8" s="43" t="s">
        <v>76</v>
      </c>
      <c r="C8" s="43" t="s">
        <v>71</v>
      </c>
      <c r="D8" s="15"/>
      <c r="E8" s="21" t="str">
        <f t="shared" si="0"/>
        <v/>
      </c>
      <c r="F8" s="15"/>
      <c r="G8" s="21" t="str">
        <f t="shared" si="1"/>
        <v/>
      </c>
    </row>
    <row r="9" spans="1:11" x14ac:dyDescent="0.25">
      <c r="A9" s="28">
        <v>5</v>
      </c>
      <c r="B9" s="43" t="s">
        <v>76</v>
      </c>
      <c r="C9" s="43" t="s">
        <v>71</v>
      </c>
      <c r="D9" s="15"/>
      <c r="E9" s="21" t="str">
        <f t="shared" si="0"/>
        <v/>
      </c>
      <c r="F9" s="15"/>
      <c r="G9" s="21" t="str">
        <f t="shared" si="1"/>
        <v/>
      </c>
    </row>
    <row r="10" spans="1:11" x14ac:dyDescent="0.25">
      <c r="A10" s="28">
        <v>6</v>
      </c>
      <c r="B10" s="43" t="s">
        <v>76</v>
      </c>
      <c r="C10" s="43" t="s">
        <v>71</v>
      </c>
      <c r="D10" s="15"/>
      <c r="E10" s="21" t="str">
        <f t="shared" si="0"/>
        <v/>
      </c>
      <c r="F10" s="15"/>
      <c r="G10" s="21" t="str">
        <f t="shared" si="1"/>
        <v/>
      </c>
    </row>
    <row r="11" spans="1:11" x14ac:dyDescent="0.25">
      <c r="A11" s="28">
        <v>7</v>
      </c>
      <c r="B11" s="43" t="s">
        <v>76</v>
      </c>
      <c r="C11" s="43" t="s">
        <v>71</v>
      </c>
      <c r="D11" s="15"/>
      <c r="E11" s="21" t="str">
        <f t="shared" si="0"/>
        <v/>
      </c>
      <c r="F11" s="15"/>
      <c r="G11" s="21" t="str">
        <f t="shared" si="1"/>
        <v/>
      </c>
    </row>
    <row r="12" spans="1:11" x14ac:dyDescent="0.25">
      <c r="A12" s="28">
        <v>8</v>
      </c>
      <c r="B12" s="43" t="s">
        <v>76</v>
      </c>
      <c r="C12" s="43" t="s">
        <v>71</v>
      </c>
      <c r="D12" s="15"/>
      <c r="E12" s="21" t="str">
        <f t="shared" si="0"/>
        <v/>
      </c>
      <c r="F12" s="15"/>
      <c r="G12" s="21" t="str">
        <f t="shared" si="1"/>
        <v/>
      </c>
    </row>
    <row r="13" spans="1:11" x14ac:dyDescent="0.25">
      <c r="A13" s="47" t="s">
        <v>55</v>
      </c>
      <c r="B13" s="46"/>
      <c r="C13" s="46"/>
      <c r="D13" s="22"/>
      <c r="E13" s="22"/>
      <c r="F13" s="22"/>
      <c r="G13" s="22"/>
    </row>
    <row r="14" spans="1:11" ht="23.25" x14ac:dyDescent="0.25">
      <c r="A14" s="20" t="s">
        <v>0</v>
      </c>
      <c r="B14" s="20" t="s">
        <v>30</v>
      </c>
      <c r="C14" s="20" t="s">
        <v>31</v>
      </c>
      <c r="D14" s="42" t="s">
        <v>7</v>
      </c>
      <c r="E14" s="20" t="s">
        <v>35</v>
      </c>
      <c r="F14" s="42" t="s">
        <v>7</v>
      </c>
      <c r="G14" s="20" t="s">
        <v>35</v>
      </c>
    </row>
    <row r="15" spans="1:11" x14ac:dyDescent="0.25">
      <c r="A15" s="28">
        <v>1</v>
      </c>
      <c r="B15" s="43" t="s">
        <v>76</v>
      </c>
      <c r="C15" s="48" t="s">
        <v>55</v>
      </c>
      <c r="D15" s="14"/>
      <c r="E15" s="21" t="str">
        <f t="shared" ref="E15:E22" si="2">IF(D15&gt;0,VLOOKUP(D15,Jumpers,3)&amp;", "&amp;VLOOKUP(D15,Jumpers,2)&amp;" ("&amp;VLOOKUP(D15,Jumpers,7)&amp;")","")</f>
        <v/>
      </c>
      <c r="F15" s="14"/>
      <c r="G15" s="21" t="str">
        <f t="shared" ref="G15:G22" si="3">IF(F15&gt;0,VLOOKUP(F15,Jumpers,3)&amp;", "&amp;VLOOKUP(F15,Jumpers,2)&amp;" ("&amp;VLOOKUP(F15,Jumpers,7)&amp;")","")</f>
        <v/>
      </c>
    </row>
    <row r="16" spans="1:11" x14ac:dyDescent="0.25">
      <c r="A16" s="28">
        <v>2</v>
      </c>
      <c r="B16" s="43" t="s">
        <v>76</v>
      </c>
      <c r="C16" s="48" t="s">
        <v>55</v>
      </c>
      <c r="D16" s="14"/>
      <c r="E16" s="21" t="str">
        <f t="shared" si="2"/>
        <v/>
      </c>
      <c r="F16" s="14"/>
      <c r="G16" s="21" t="str">
        <f t="shared" si="3"/>
        <v/>
      </c>
    </row>
    <row r="17" spans="1:7" x14ac:dyDescent="0.25">
      <c r="A17" s="28">
        <v>3</v>
      </c>
      <c r="B17" s="43" t="s">
        <v>76</v>
      </c>
      <c r="C17" s="48" t="s">
        <v>55</v>
      </c>
      <c r="D17" s="14"/>
      <c r="E17" s="21" t="str">
        <f t="shared" si="2"/>
        <v/>
      </c>
      <c r="F17" s="14"/>
      <c r="G17" s="21" t="str">
        <f t="shared" si="3"/>
        <v/>
      </c>
    </row>
    <row r="18" spans="1:7" x14ac:dyDescent="0.25">
      <c r="A18" s="28">
        <v>4</v>
      </c>
      <c r="B18" s="43" t="s">
        <v>76</v>
      </c>
      <c r="C18" s="48" t="s">
        <v>55</v>
      </c>
      <c r="D18" s="14"/>
      <c r="E18" s="21" t="str">
        <f t="shared" si="2"/>
        <v/>
      </c>
      <c r="F18" s="14"/>
      <c r="G18" s="21" t="str">
        <f t="shared" si="3"/>
        <v/>
      </c>
    </row>
    <row r="19" spans="1:7" x14ac:dyDescent="0.25">
      <c r="A19" s="28">
        <v>5</v>
      </c>
      <c r="B19" s="43" t="s">
        <v>76</v>
      </c>
      <c r="C19" s="48" t="s">
        <v>55</v>
      </c>
      <c r="D19" s="14"/>
      <c r="E19" s="21" t="str">
        <f t="shared" si="2"/>
        <v/>
      </c>
      <c r="F19" s="14"/>
      <c r="G19" s="21" t="str">
        <f t="shared" si="3"/>
        <v/>
      </c>
    </row>
    <row r="20" spans="1:7" x14ac:dyDescent="0.25">
      <c r="A20" s="28">
        <v>6</v>
      </c>
      <c r="B20" s="43" t="s">
        <v>76</v>
      </c>
      <c r="C20" s="48" t="s">
        <v>55</v>
      </c>
      <c r="D20" s="14"/>
      <c r="E20" s="21" t="str">
        <f t="shared" si="2"/>
        <v/>
      </c>
      <c r="F20" s="14"/>
      <c r="G20" s="21" t="str">
        <f t="shared" si="3"/>
        <v/>
      </c>
    </row>
    <row r="21" spans="1:7" x14ac:dyDescent="0.25">
      <c r="A21" s="28">
        <v>7</v>
      </c>
      <c r="B21" s="43" t="s">
        <v>76</v>
      </c>
      <c r="C21" s="48" t="s">
        <v>55</v>
      </c>
      <c r="D21" s="14"/>
      <c r="E21" s="21" t="str">
        <f t="shared" si="2"/>
        <v/>
      </c>
      <c r="F21" s="14"/>
      <c r="G21" s="21" t="str">
        <f t="shared" si="3"/>
        <v/>
      </c>
    </row>
    <row r="22" spans="1:7" x14ac:dyDescent="0.25">
      <c r="A22" s="28">
        <v>8</v>
      </c>
      <c r="B22" s="43" t="s">
        <v>76</v>
      </c>
      <c r="C22" s="48" t="s">
        <v>55</v>
      </c>
      <c r="D22" s="14"/>
      <c r="E22" s="21" t="str">
        <f t="shared" si="2"/>
        <v/>
      </c>
      <c r="F22" s="14"/>
      <c r="G22" s="21" t="str">
        <f t="shared" si="3"/>
        <v/>
      </c>
    </row>
    <row r="23" spans="1:7" x14ac:dyDescent="0.25">
      <c r="A23" s="47" t="s">
        <v>26</v>
      </c>
      <c r="B23" s="46"/>
      <c r="C23" s="46"/>
      <c r="D23" s="22"/>
      <c r="E23" s="22"/>
      <c r="F23" s="22"/>
      <c r="G23" s="22"/>
    </row>
    <row r="24" spans="1:7" ht="23.25" x14ac:dyDescent="0.25">
      <c r="A24" s="20" t="s">
        <v>0</v>
      </c>
      <c r="B24" s="20" t="s">
        <v>30</v>
      </c>
      <c r="C24" s="20" t="s">
        <v>31</v>
      </c>
      <c r="D24" s="42" t="s">
        <v>7</v>
      </c>
      <c r="E24" s="20" t="s">
        <v>35</v>
      </c>
      <c r="F24" s="42" t="s">
        <v>7</v>
      </c>
      <c r="G24" s="20" t="s">
        <v>35</v>
      </c>
    </row>
    <row r="25" spans="1:7" x14ac:dyDescent="0.25">
      <c r="A25" s="28">
        <v>1</v>
      </c>
      <c r="B25" s="43" t="s">
        <v>76</v>
      </c>
      <c r="C25" s="48" t="s">
        <v>26</v>
      </c>
      <c r="D25" s="14"/>
      <c r="E25" s="21" t="str">
        <f t="shared" ref="E25:E32" si="4">IF(D25&gt;0,VLOOKUP(D25,Jumpers,3)&amp;", "&amp;VLOOKUP(D25,Jumpers,2)&amp;" ("&amp;VLOOKUP(D25,Jumpers,7)&amp;")","")</f>
        <v/>
      </c>
      <c r="F25" s="14"/>
      <c r="G25" s="21" t="str">
        <f t="shared" ref="G25:G32" si="5">IF(F25&gt;0,VLOOKUP(F25,Jumpers,3)&amp;", "&amp;VLOOKUP(F25,Jumpers,2)&amp;" ("&amp;VLOOKUP(F25,Jumpers,7)&amp;")","")</f>
        <v/>
      </c>
    </row>
    <row r="26" spans="1:7" x14ac:dyDescent="0.25">
      <c r="A26" s="28">
        <v>2</v>
      </c>
      <c r="B26" s="43" t="s">
        <v>76</v>
      </c>
      <c r="C26" s="48" t="s">
        <v>26</v>
      </c>
      <c r="D26" s="14"/>
      <c r="E26" s="21" t="str">
        <f t="shared" si="4"/>
        <v/>
      </c>
      <c r="F26" s="14"/>
      <c r="G26" s="21" t="str">
        <f t="shared" si="5"/>
        <v/>
      </c>
    </row>
    <row r="27" spans="1:7" x14ac:dyDescent="0.25">
      <c r="A27" s="28">
        <v>3</v>
      </c>
      <c r="B27" s="43" t="s">
        <v>76</v>
      </c>
      <c r="C27" s="48" t="s">
        <v>26</v>
      </c>
      <c r="D27" s="14"/>
      <c r="E27" s="21" t="str">
        <f t="shared" si="4"/>
        <v/>
      </c>
      <c r="F27" s="14"/>
      <c r="G27" s="21" t="str">
        <f>IF(F27&gt;0,VLOOKUP(F27,Jumpers,3)&amp;", "&amp;VLOOKUP(F27,Jumpers,2)&amp;" ("&amp;VLOOKUP(F27,Jumpers,7)&amp;")","")</f>
        <v/>
      </c>
    </row>
    <row r="28" spans="1:7" x14ac:dyDescent="0.25">
      <c r="A28" s="28">
        <v>4</v>
      </c>
      <c r="B28" s="43" t="s">
        <v>76</v>
      </c>
      <c r="C28" s="48" t="s">
        <v>26</v>
      </c>
      <c r="D28" s="14"/>
      <c r="E28" s="21" t="str">
        <f t="shared" si="4"/>
        <v/>
      </c>
      <c r="F28" s="14"/>
      <c r="G28" s="21" t="str">
        <f>IF(F28&gt;0,VLOOKUP(F28,Jumpers,3)&amp;", "&amp;VLOOKUP(F28,Jumpers,2)&amp;" ("&amp;VLOOKUP(F28,Jumpers,7)&amp;")","")</f>
        <v/>
      </c>
    </row>
    <row r="29" spans="1:7" x14ac:dyDescent="0.25">
      <c r="A29" s="28">
        <v>5</v>
      </c>
      <c r="B29" s="43" t="s">
        <v>76</v>
      </c>
      <c r="C29" s="48" t="s">
        <v>26</v>
      </c>
      <c r="D29" s="14"/>
      <c r="E29" s="21" t="str">
        <f t="shared" si="4"/>
        <v/>
      </c>
      <c r="F29" s="14"/>
      <c r="G29" s="21" t="str">
        <f t="shared" si="5"/>
        <v/>
      </c>
    </row>
    <row r="30" spans="1:7" x14ac:dyDescent="0.25">
      <c r="A30" s="28">
        <v>6</v>
      </c>
      <c r="B30" s="43" t="s">
        <v>76</v>
      </c>
      <c r="C30" s="48" t="s">
        <v>26</v>
      </c>
      <c r="D30" s="14"/>
      <c r="E30" s="21" t="str">
        <f t="shared" si="4"/>
        <v/>
      </c>
      <c r="F30" s="14"/>
      <c r="G30" s="21" t="str">
        <f t="shared" si="5"/>
        <v/>
      </c>
    </row>
    <row r="31" spans="1:7" x14ac:dyDescent="0.25">
      <c r="A31" s="28">
        <v>7</v>
      </c>
      <c r="B31" s="43" t="s">
        <v>76</v>
      </c>
      <c r="C31" s="48" t="s">
        <v>26</v>
      </c>
      <c r="D31" s="14"/>
      <c r="E31" s="21" t="str">
        <f t="shared" si="4"/>
        <v/>
      </c>
      <c r="F31" s="14"/>
      <c r="G31" s="21" t="str">
        <f t="shared" si="5"/>
        <v/>
      </c>
    </row>
    <row r="32" spans="1:7" x14ac:dyDescent="0.25">
      <c r="A32" s="28">
        <v>8</v>
      </c>
      <c r="B32" s="43" t="s">
        <v>76</v>
      </c>
      <c r="C32" s="48" t="s">
        <v>26</v>
      </c>
      <c r="D32" s="14"/>
      <c r="E32" s="21" t="str">
        <f t="shared" si="4"/>
        <v/>
      </c>
      <c r="F32" s="14"/>
      <c r="G32" s="21" t="str">
        <f t="shared" si="5"/>
        <v/>
      </c>
    </row>
    <row r="33" spans="1:7" x14ac:dyDescent="0.25">
      <c r="A33" s="47" t="s">
        <v>27</v>
      </c>
      <c r="B33" s="46"/>
      <c r="C33" s="46"/>
      <c r="D33" s="22"/>
      <c r="E33" s="22"/>
      <c r="F33" s="22"/>
      <c r="G33" s="22"/>
    </row>
    <row r="34" spans="1:7" ht="23.25" x14ac:dyDescent="0.25">
      <c r="A34" s="20" t="s">
        <v>0</v>
      </c>
      <c r="B34" s="20" t="s">
        <v>30</v>
      </c>
      <c r="C34" s="20" t="s">
        <v>31</v>
      </c>
      <c r="D34" s="42" t="s">
        <v>7</v>
      </c>
      <c r="E34" s="20" t="s">
        <v>35</v>
      </c>
      <c r="F34" s="42" t="s">
        <v>7</v>
      </c>
      <c r="G34" s="20" t="s">
        <v>35</v>
      </c>
    </row>
    <row r="35" spans="1:7" x14ac:dyDescent="0.25">
      <c r="A35" s="28">
        <v>1</v>
      </c>
      <c r="B35" s="43" t="s">
        <v>76</v>
      </c>
      <c r="C35" s="43" t="s">
        <v>27</v>
      </c>
      <c r="D35" s="14"/>
      <c r="E35" s="21" t="str">
        <f t="shared" ref="E35:E42" si="6">IF(D35&gt;0,VLOOKUP(D35,Jumpers,3)&amp;", "&amp;VLOOKUP(D35,Jumpers,2)&amp;" ("&amp;VLOOKUP(D35,Jumpers,7)&amp;")","")</f>
        <v/>
      </c>
      <c r="F35" s="14"/>
      <c r="G35" s="21" t="str">
        <f t="shared" ref="G35:G42" si="7">IF(F35&gt;0,VLOOKUP(F35,Jumpers,3)&amp;", "&amp;VLOOKUP(F35,Jumpers,2)&amp;" ("&amp;VLOOKUP(F35,Jumpers,7)&amp;")","")</f>
        <v/>
      </c>
    </row>
    <row r="36" spans="1:7" x14ac:dyDescent="0.25">
      <c r="A36" s="28">
        <v>2</v>
      </c>
      <c r="B36" s="43" t="s">
        <v>76</v>
      </c>
      <c r="C36" s="43" t="s">
        <v>27</v>
      </c>
      <c r="D36" s="14"/>
      <c r="E36" s="21" t="str">
        <f t="shared" si="6"/>
        <v/>
      </c>
      <c r="F36" s="14"/>
      <c r="G36" s="21" t="str">
        <f t="shared" si="7"/>
        <v/>
      </c>
    </row>
    <row r="37" spans="1:7" x14ac:dyDescent="0.25">
      <c r="A37" s="28">
        <v>3</v>
      </c>
      <c r="B37" s="43" t="s">
        <v>76</v>
      </c>
      <c r="C37" s="43" t="s">
        <v>27</v>
      </c>
      <c r="D37" s="14"/>
      <c r="E37" s="21" t="str">
        <f t="shared" si="6"/>
        <v/>
      </c>
      <c r="F37" s="14"/>
      <c r="G37" s="21" t="str">
        <f t="shared" si="7"/>
        <v/>
      </c>
    </row>
    <row r="38" spans="1:7" x14ac:dyDescent="0.25">
      <c r="A38" s="28">
        <v>4</v>
      </c>
      <c r="B38" s="43" t="s">
        <v>76</v>
      </c>
      <c r="C38" s="43" t="s">
        <v>27</v>
      </c>
      <c r="D38" s="14"/>
      <c r="E38" s="21" t="str">
        <f t="shared" si="6"/>
        <v/>
      </c>
      <c r="F38" s="14"/>
      <c r="G38" s="21" t="str">
        <f t="shared" si="7"/>
        <v/>
      </c>
    </row>
    <row r="39" spans="1:7" x14ac:dyDescent="0.25">
      <c r="A39" s="28">
        <v>5</v>
      </c>
      <c r="B39" s="43" t="s">
        <v>76</v>
      </c>
      <c r="C39" s="43" t="s">
        <v>27</v>
      </c>
      <c r="D39" s="14"/>
      <c r="E39" s="21" t="str">
        <f t="shared" si="6"/>
        <v/>
      </c>
      <c r="F39" s="14"/>
      <c r="G39" s="21" t="str">
        <f t="shared" si="7"/>
        <v/>
      </c>
    </row>
    <row r="40" spans="1:7" x14ac:dyDescent="0.25">
      <c r="A40" s="28">
        <v>6</v>
      </c>
      <c r="B40" s="43" t="s">
        <v>76</v>
      </c>
      <c r="C40" s="43" t="s">
        <v>27</v>
      </c>
      <c r="D40" s="14"/>
      <c r="E40" s="21" t="str">
        <f t="shared" si="6"/>
        <v/>
      </c>
      <c r="F40" s="14"/>
      <c r="G40" s="21" t="str">
        <f t="shared" si="7"/>
        <v/>
      </c>
    </row>
    <row r="41" spans="1:7" x14ac:dyDescent="0.25">
      <c r="A41" s="28">
        <v>7</v>
      </c>
      <c r="B41" s="43" t="s">
        <v>76</v>
      </c>
      <c r="C41" s="43" t="s">
        <v>27</v>
      </c>
      <c r="D41" s="14"/>
      <c r="E41" s="21" t="str">
        <f t="shared" si="6"/>
        <v/>
      </c>
      <c r="F41" s="14"/>
      <c r="G41" s="21" t="str">
        <f t="shared" si="7"/>
        <v/>
      </c>
    </row>
    <row r="42" spans="1:7" x14ac:dyDescent="0.25">
      <c r="A42" s="28">
        <v>8</v>
      </c>
      <c r="B42" s="43" t="s">
        <v>76</v>
      </c>
      <c r="C42" s="43" t="s">
        <v>27</v>
      </c>
      <c r="D42" s="14"/>
      <c r="E42" s="21" t="str">
        <f t="shared" si="6"/>
        <v/>
      </c>
      <c r="F42" s="14"/>
      <c r="G42" s="21" t="str">
        <f t="shared" si="7"/>
        <v/>
      </c>
    </row>
    <row r="43" spans="1:7" x14ac:dyDescent="0.25">
      <c r="A43" s="51" t="s">
        <v>28</v>
      </c>
      <c r="B43" s="46"/>
      <c r="C43" s="46"/>
      <c r="D43" s="22"/>
      <c r="E43" s="22"/>
      <c r="F43" s="22"/>
      <c r="G43" s="22"/>
    </row>
    <row r="44" spans="1:7" ht="23.25" x14ac:dyDescent="0.25">
      <c r="A44" s="20" t="s">
        <v>0</v>
      </c>
      <c r="B44" s="20" t="s">
        <v>30</v>
      </c>
      <c r="C44" s="20" t="s">
        <v>31</v>
      </c>
      <c r="D44" s="42" t="s">
        <v>7</v>
      </c>
      <c r="E44" s="20" t="s">
        <v>35</v>
      </c>
      <c r="F44" s="42" t="s">
        <v>7</v>
      </c>
      <c r="G44" s="20" t="s">
        <v>35</v>
      </c>
    </row>
    <row r="45" spans="1:7" x14ac:dyDescent="0.25">
      <c r="A45" s="28">
        <v>1</v>
      </c>
      <c r="B45" s="43" t="s">
        <v>76</v>
      </c>
      <c r="C45" s="43" t="s">
        <v>28</v>
      </c>
      <c r="D45" s="14"/>
      <c r="E45" s="21" t="str">
        <f t="shared" ref="E45:E52" si="8">IF(D45&gt;0,VLOOKUP(D45,Jumpers,3)&amp;", "&amp;VLOOKUP(D45,Jumpers,2)&amp;" ("&amp;VLOOKUP(D45,Jumpers,7)&amp;")","")</f>
        <v/>
      </c>
      <c r="F45" s="14"/>
      <c r="G45" s="21" t="str">
        <f t="shared" ref="G45:G52" si="9">IF(F45&gt;0,VLOOKUP(F45,Jumpers,3)&amp;", "&amp;VLOOKUP(F45,Jumpers,2)&amp;" ("&amp;VLOOKUP(F45,Jumpers,7)&amp;")","")</f>
        <v/>
      </c>
    </row>
    <row r="46" spans="1:7" x14ac:dyDescent="0.25">
      <c r="A46" s="28">
        <v>2</v>
      </c>
      <c r="B46" s="43" t="s">
        <v>76</v>
      </c>
      <c r="C46" s="43" t="s">
        <v>28</v>
      </c>
      <c r="D46" s="14"/>
      <c r="E46" s="21" t="str">
        <f t="shared" si="8"/>
        <v/>
      </c>
      <c r="F46" s="14"/>
      <c r="G46" s="21" t="str">
        <f t="shared" si="9"/>
        <v/>
      </c>
    </row>
    <row r="47" spans="1:7" x14ac:dyDescent="0.25">
      <c r="A47" s="28">
        <v>3</v>
      </c>
      <c r="B47" s="43" t="s">
        <v>76</v>
      </c>
      <c r="C47" s="43" t="s">
        <v>28</v>
      </c>
      <c r="D47" s="14"/>
      <c r="E47" s="21" t="str">
        <f t="shared" si="8"/>
        <v/>
      </c>
      <c r="F47" s="14"/>
      <c r="G47" s="21" t="str">
        <f t="shared" si="9"/>
        <v/>
      </c>
    </row>
    <row r="48" spans="1:7" x14ac:dyDescent="0.25">
      <c r="A48" s="28">
        <v>4</v>
      </c>
      <c r="B48" s="43" t="s">
        <v>76</v>
      </c>
      <c r="C48" s="43" t="s">
        <v>28</v>
      </c>
      <c r="D48" s="14"/>
      <c r="E48" s="21" t="str">
        <f t="shared" si="8"/>
        <v/>
      </c>
      <c r="F48" s="14"/>
      <c r="G48" s="21" t="str">
        <f t="shared" si="9"/>
        <v/>
      </c>
    </row>
    <row r="49" spans="1:7" x14ac:dyDescent="0.25">
      <c r="A49" s="28">
        <v>5</v>
      </c>
      <c r="B49" s="43" t="s">
        <v>76</v>
      </c>
      <c r="C49" s="43" t="s">
        <v>28</v>
      </c>
      <c r="D49" s="14"/>
      <c r="E49" s="21" t="str">
        <f t="shared" si="8"/>
        <v/>
      </c>
      <c r="F49" s="14"/>
      <c r="G49" s="21" t="str">
        <f t="shared" si="9"/>
        <v/>
      </c>
    </row>
    <row r="50" spans="1:7" x14ac:dyDescent="0.25">
      <c r="A50" s="28">
        <v>6</v>
      </c>
      <c r="B50" s="43" t="s">
        <v>76</v>
      </c>
      <c r="C50" s="43" t="s">
        <v>28</v>
      </c>
      <c r="D50" s="14"/>
      <c r="E50" s="21" t="str">
        <f t="shared" si="8"/>
        <v/>
      </c>
      <c r="F50" s="14"/>
      <c r="G50" s="21" t="str">
        <f t="shared" si="9"/>
        <v/>
      </c>
    </row>
    <row r="51" spans="1:7" x14ac:dyDescent="0.25">
      <c r="A51" s="28">
        <v>7</v>
      </c>
      <c r="B51" s="43" t="s">
        <v>76</v>
      </c>
      <c r="C51" s="43" t="s">
        <v>28</v>
      </c>
      <c r="D51" s="14"/>
      <c r="E51" s="21" t="str">
        <f t="shared" si="8"/>
        <v/>
      </c>
      <c r="F51" s="14"/>
      <c r="G51" s="21" t="str">
        <f t="shared" si="9"/>
        <v/>
      </c>
    </row>
    <row r="52" spans="1:7" x14ac:dyDescent="0.25">
      <c r="A52" s="28">
        <v>8</v>
      </c>
      <c r="B52" s="43" t="s">
        <v>76</v>
      </c>
      <c r="C52" s="43" t="s">
        <v>28</v>
      </c>
      <c r="D52" s="14"/>
      <c r="E52" s="21" t="str">
        <f t="shared" si="8"/>
        <v/>
      </c>
      <c r="F52" s="14"/>
      <c r="G52" s="21" t="str">
        <f t="shared" si="9"/>
        <v/>
      </c>
    </row>
    <row r="53" spans="1:7" x14ac:dyDescent="0.25">
      <c r="A53" s="28">
        <v>9</v>
      </c>
      <c r="B53" s="43" t="s">
        <v>76</v>
      </c>
      <c r="C53" s="43" t="s">
        <v>28</v>
      </c>
      <c r="D53" s="14"/>
      <c r="E53" s="21" t="str">
        <f>IF(D53&gt;0,VLOOKUP(D53,Jumpers,3)&amp;", "&amp;VLOOKUP(D53,Jumpers,2)&amp;" ("&amp;VLOOKUP(D53,Jumpers,7)&amp;")","")</f>
        <v/>
      </c>
      <c r="F53" s="14"/>
      <c r="G53" s="21" t="str">
        <f>IF(F53&gt;0,VLOOKUP(F53,Jumpers,3)&amp;", "&amp;VLOOKUP(F53,Jumpers,2)&amp;" ("&amp;VLOOKUP(F53,Jumpers,7)&amp;")","")</f>
        <v/>
      </c>
    </row>
    <row r="54" spans="1:7" x14ac:dyDescent="0.25">
      <c r="A54" s="28">
        <v>10</v>
      </c>
      <c r="B54" s="43" t="s">
        <v>76</v>
      </c>
      <c r="C54" s="43" t="s">
        <v>28</v>
      </c>
      <c r="D54" s="14"/>
      <c r="E54" s="21" t="str">
        <f>IF(D54&gt;0,VLOOKUP(D54,Jumpers,3)&amp;", "&amp;VLOOKUP(D54,Jumpers,2)&amp;" ("&amp;VLOOKUP(D54,Jumpers,7)&amp;")","")</f>
        <v/>
      </c>
      <c r="F54" s="14"/>
      <c r="G54" s="21" t="str">
        <f>IF(F54&gt;0,VLOOKUP(F54,Jumpers,3)&amp;", "&amp;VLOOKUP(F54,Jumpers,2)&amp;" ("&amp;VLOOKUP(F54,Jumpers,7)&amp;")","")</f>
        <v/>
      </c>
    </row>
    <row r="55" spans="1:7" x14ac:dyDescent="0.25">
      <c r="A55" s="22" t="s">
        <v>29</v>
      </c>
      <c r="B55" s="46"/>
      <c r="C55" s="46"/>
      <c r="D55" s="22"/>
      <c r="E55" s="22"/>
      <c r="F55" s="22"/>
      <c r="G55" s="22"/>
    </row>
    <row r="56" spans="1:7" ht="23.25" x14ac:dyDescent="0.25">
      <c r="A56" s="20" t="s">
        <v>0</v>
      </c>
      <c r="B56" s="20" t="s">
        <v>30</v>
      </c>
      <c r="C56" s="20" t="s">
        <v>31</v>
      </c>
      <c r="D56" s="42" t="s">
        <v>7</v>
      </c>
      <c r="E56" s="20" t="s">
        <v>35</v>
      </c>
      <c r="F56" s="42" t="s">
        <v>7</v>
      </c>
      <c r="G56" s="20" t="s">
        <v>35</v>
      </c>
    </row>
    <row r="57" spans="1:7" x14ac:dyDescent="0.25">
      <c r="A57" s="28">
        <v>1</v>
      </c>
      <c r="B57" s="43" t="s">
        <v>76</v>
      </c>
      <c r="C57" s="43" t="s">
        <v>29</v>
      </c>
      <c r="D57" s="14"/>
      <c r="E57" s="21" t="str">
        <f t="shared" ref="E57:E64" si="10">IF(D57&gt;0,VLOOKUP(D57,Jumpers,3)&amp;", "&amp;VLOOKUP(D57,Jumpers,2)&amp;" ("&amp;VLOOKUP(D57,Jumpers,7)&amp;")","")</f>
        <v/>
      </c>
      <c r="F57" s="14"/>
      <c r="G57" s="21" t="str">
        <f t="shared" ref="G57:G64" si="11">IF(F57&gt;0,VLOOKUP(F57,Jumpers,3)&amp;", "&amp;VLOOKUP(F57,Jumpers,2)&amp;" ("&amp;VLOOKUP(F57,Jumpers,7)&amp;")","")</f>
        <v/>
      </c>
    </row>
    <row r="58" spans="1:7" x14ac:dyDescent="0.25">
      <c r="A58" s="28">
        <v>2</v>
      </c>
      <c r="B58" s="43" t="s">
        <v>76</v>
      </c>
      <c r="C58" s="43" t="s">
        <v>29</v>
      </c>
      <c r="D58" s="14"/>
      <c r="E58" s="21" t="str">
        <f t="shared" si="10"/>
        <v/>
      </c>
      <c r="F58" s="14"/>
      <c r="G58" s="21" t="str">
        <f t="shared" si="11"/>
        <v/>
      </c>
    </row>
    <row r="59" spans="1:7" x14ac:dyDescent="0.25">
      <c r="A59" s="28">
        <v>3</v>
      </c>
      <c r="B59" s="43" t="s">
        <v>76</v>
      </c>
      <c r="C59" s="43" t="s">
        <v>29</v>
      </c>
      <c r="D59" s="14"/>
      <c r="E59" s="21" t="str">
        <f t="shared" si="10"/>
        <v/>
      </c>
      <c r="F59" s="14"/>
      <c r="G59" s="21" t="str">
        <f t="shared" si="11"/>
        <v/>
      </c>
    </row>
    <row r="60" spans="1:7" x14ac:dyDescent="0.25">
      <c r="A60" s="28">
        <v>4</v>
      </c>
      <c r="B60" s="43" t="s">
        <v>76</v>
      </c>
      <c r="C60" s="43" t="s">
        <v>29</v>
      </c>
      <c r="D60" s="14"/>
      <c r="E60" s="21" t="str">
        <f t="shared" si="10"/>
        <v/>
      </c>
      <c r="F60" s="14"/>
      <c r="G60" s="21" t="str">
        <f t="shared" si="11"/>
        <v/>
      </c>
    </row>
    <row r="61" spans="1:7" x14ac:dyDescent="0.25">
      <c r="A61" s="28">
        <v>5</v>
      </c>
      <c r="B61" s="43" t="s">
        <v>76</v>
      </c>
      <c r="C61" s="43" t="s">
        <v>29</v>
      </c>
      <c r="D61" s="14"/>
      <c r="E61" s="21" t="str">
        <f t="shared" si="10"/>
        <v/>
      </c>
      <c r="F61" s="14"/>
      <c r="G61" s="21" t="str">
        <f t="shared" si="11"/>
        <v/>
      </c>
    </row>
    <row r="62" spans="1:7" x14ac:dyDescent="0.25">
      <c r="A62" s="28">
        <v>6</v>
      </c>
      <c r="B62" s="43" t="s">
        <v>76</v>
      </c>
      <c r="C62" s="43" t="s">
        <v>29</v>
      </c>
      <c r="D62" s="14"/>
      <c r="E62" s="21" t="str">
        <f t="shared" si="10"/>
        <v/>
      </c>
      <c r="F62" s="14"/>
      <c r="G62" s="21" t="str">
        <f t="shared" si="11"/>
        <v/>
      </c>
    </row>
    <row r="63" spans="1:7" x14ac:dyDescent="0.25">
      <c r="A63" s="28">
        <v>7</v>
      </c>
      <c r="B63" s="43" t="s">
        <v>76</v>
      </c>
      <c r="C63" s="43" t="s">
        <v>29</v>
      </c>
      <c r="D63" s="14"/>
      <c r="E63" s="21" t="str">
        <f t="shared" si="10"/>
        <v/>
      </c>
      <c r="F63" s="14"/>
      <c r="G63" s="21" t="str">
        <f t="shared" si="11"/>
        <v/>
      </c>
    </row>
    <row r="64" spans="1:7" x14ac:dyDescent="0.25">
      <c r="A64" s="28">
        <v>8</v>
      </c>
      <c r="B64" s="43" t="s">
        <v>76</v>
      </c>
      <c r="C64" s="43" t="s">
        <v>29</v>
      </c>
      <c r="D64" s="14"/>
      <c r="E64" s="21" t="str">
        <f t="shared" si="10"/>
        <v/>
      </c>
      <c r="F64" s="14"/>
      <c r="G64" s="21" t="str">
        <f t="shared" si="11"/>
        <v/>
      </c>
    </row>
  </sheetData>
  <sheetProtection password="CE88" sheet="1" objects="1" scenarios="1" selectLockedCells="1"/>
  <mergeCells count="1">
    <mergeCell ref="A2:G2"/>
  </mergeCells>
  <conditionalFormatting sqref="D5:D12 F5:F12 D15:D22 F15:F22 D25:D32 F25:F32 D35:D42 F35:F42 D45:D54 F45:F54 D57:D64 F57:F64">
    <cfRule type="expression" dxfId="33" priority="5" stopIfTrue="1">
      <formula>OR(CODE(D5)&lt;48,CODE(D5)&gt;57)</formula>
    </cfRule>
    <cfRule type="expression" dxfId="32" priority="6" stopIfTrue="1">
      <formula>AND(D5&lt;&gt;"",COUNTIF($D$5:$D$102,D5)+COUNTIF($F$5:$F$102,D5)&gt;1)</formula>
    </cfRule>
  </conditionalFormatting>
  <conditionalFormatting sqref="D5:D12 F5:F12">
    <cfRule type="expression" dxfId="31" priority="15" stopIfTrue="1">
      <formula>VLOOKUP(D5,Jumpers,7)&gt;8</formula>
    </cfRule>
  </conditionalFormatting>
  <conditionalFormatting sqref="D15:D22 F15:F22">
    <cfRule type="expression" dxfId="30" priority="9" stopIfTrue="1">
      <formula>AND($D15&lt;&gt;"",$F15&lt;&gt;"",AND(OR(VLOOKUP($D15,Jumpers,7)&gt;10,VLOOKUP($D15,Jumpers,7)&lt;9),OR(VLOOKUP($F15,Jumpers,7)&gt;10,VLOOKUP($F15,Jumpers,7)&lt;9)))</formula>
    </cfRule>
    <cfRule type="expression" dxfId="29" priority="17" stopIfTrue="1">
      <formula>VLOOKUP(D15,Jumpers,7)&gt;10</formula>
    </cfRule>
  </conditionalFormatting>
  <conditionalFormatting sqref="D25:D32 F25:F32">
    <cfRule type="expression" dxfId="28" priority="8" stopIfTrue="1">
      <formula>AND($D25&lt;&gt;"",$F25&lt;&gt;"",AND(OR(VLOOKUP($D25,Jumpers,7)&gt;12,VLOOKUP($D25,Jumpers,7)&lt;11),OR(VLOOKUP($F25,Jumpers,7)&gt;12,VLOOKUP($F25,Jumpers,7)&lt;11)))</formula>
    </cfRule>
    <cfRule type="expression" dxfId="27" priority="18" stopIfTrue="1">
      <formula>VLOOKUP(D25,Jumpers,7)&gt;12</formula>
    </cfRule>
  </conditionalFormatting>
  <conditionalFormatting sqref="D35:D42 F35:F42">
    <cfRule type="expression" dxfId="26" priority="7" stopIfTrue="1">
      <formula>AND($D35&lt;&gt;"",$F35&lt;&gt;"",AND(OR(VLOOKUP($D35,Jumpers,7)&gt;14,VLOOKUP($D35,Jumpers,7)&lt;13),OR(VLOOKUP($F35,Jumpers,7)&gt;14,VLOOKUP($F35,Jumpers,7)&lt;13)))</formula>
    </cfRule>
    <cfRule type="expression" dxfId="25" priority="20" stopIfTrue="1">
      <formula>VLOOKUP(D35,Jumpers,7)&gt;14</formula>
    </cfRule>
  </conditionalFormatting>
  <conditionalFormatting sqref="D45:D54 F45:F54">
    <cfRule type="expression" dxfId="24" priority="11" stopIfTrue="1">
      <formula>VLOOKUP(D45,Jumpers,7)&gt;17</formula>
    </cfRule>
    <cfRule type="expression" dxfId="23" priority="21" stopIfTrue="1">
      <formula>AND($D45&lt;&gt;"",$F45&lt;&gt;"",AND(OR(VLOOKUP($D45,Jumpers,7)&gt;17,VLOOKUP($D45,Jumpers,7)&lt;15),OR(VLOOKUP($F45,Jumpers,7)&gt;17,VLOOKUP($F45,Jumpers,7)&lt;15)))</formula>
    </cfRule>
  </conditionalFormatting>
  <conditionalFormatting sqref="D57:D64 F57:F64">
    <cfRule type="expression" dxfId="22" priority="10" stopIfTrue="1">
      <formula>VLOOKUP(D57,Jumpers,7)&gt;22</formula>
    </cfRule>
    <cfRule type="expression" dxfId="21" priority="22" stopIfTrue="1">
      <formula>AND($D57&lt;&gt;"",$F57&lt;&gt;"",AND(OR(VLOOKUP($D57,Jumpers,7)&gt;22,VLOOKUP($D57,Jumpers,7)&lt;18),OR(VLOOKUP($F57,Jumpers,7)&gt;22,VLOOKUP($F57,Jumpers,7)&lt;18)))</formula>
    </cfRule>
  </conditionalFormatting>
  <pageMargins left="0.25" right="0.25" top="0.75" bottom="0.75" header="0.3" footer="0.3"/>
  <pageSetup fitToHeight="2" orientation="portrait" horizontalDpi="180" verticalDpi="180"/>
  <headerFooter>
    <oddHeader>&amp;LAAU Regional Tournament&amp;R&amp;A</oddHeader>
    <oddFooter>&amp;RPage &amp;P of &amp;N</oddFooter>
  </headerFooter>
  <customProperties>
    <customPr name="DVSECTION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2"/>
  <sheetViews>
    <sheetView workbookViewId="0">
      <selection activeCell="D5" sqref="D5:D12"/>
    </sheetView>
  </sheetViews>
  <sheetFormatPr defaultColWidth="8.85546875" defaultRowHeight="15" x14ac:dyDescent="0.25"/>
  <cols>
    <col min="1" max="1" width="2.7109375" customWidth="1"/>
    <col min="2" max="2" width="4.7109375" bestFit="1" customWidth="1"/>
    <col min="3" max="3" width="7.140625" bestFit="1" customWidth="1"/>
    <col min="4" max="4" width="8.28515625" bestFit="1" customWidth="1"/>
    <col min="5" max="5" width="20.7109375" customWidth="1"/>
    <col min="6" max="6" width="8.28515625" bestFit="1" customWidth="1"/>
    <col min="7" max="7" width="20.7109375" customWidth="1"/>
    <col min="8" max="8" width="8.28515625" bestFit="1" customWidth="1"/>
    <col min="9" max="9" width="20.7109375" customWidth="1"/>
  </cols>
  <sheetData>
    <row r="1" spans="1:9" ht="18.75" x14ac:dyDescent="0.3">
      <c r="A1" s="50" t="s">
        <v>107</v>
      </c>
      <c r="I1" s="34" t="str">
        <f>CONCATENATE("Team: ",'Team Info'!$B$3)</f>
        <v xml:space="preserve">Team: </v>
      </c>
    </row>
    <row r="2" spans="1:9" ht="45.75" customHeight="1" x14ac:dyDescent="0.25">
      <c r="A2" s="113" t="s">
        <v>111</v>
      </c>
      <c r="B2" s="114"/>
      <c r="C2" s="114"/>
      <c r="D2" s="114"/>
      <c r="E2" s="114"/>
      <c r="F2" s="114"/>
      <c r="G2" s="114"/>
      <c r="H2" s="114"/>
      <c r="I2" s="114"/>
    </row>
    <row r="3" spans="1:9" x14ac:dyDescent="0.25">
      <c r="A3" s="22" t="s">
        <v>99</v>
      </c>
      <c r="B3" s="46"/>
      <c r="C3" s="46"/>
      <c r="D3" s="22"/>
      <c r="E3" s="22"/>
      <c r="F3" s="22"/>
      <c r="G3" s="22"/>
      <c r="H3" s="22"/>
      <c r="I3" s="22"/>
    </row>
    <row r="4" spans="1:9" ht="23.25" x14ac:dyDescent="0.25">
      <c r="A4" s="20" t="s">
        <v>0</v>
      </c>
      <c r="B4" s="20" t="s">
        <v>30</v>
      </c>
      <c r="C4" s="20" t="s">
        <v>31</v>
      </c>
      <c r="D4" s="42" t="s">
        <v>7</v>
      </c>
      <c r="E4" s="20" t="s">
        <v>35</v>
      </c>
      <c r="F4" s="42" t="s">
        <v>7</v>
      </c>
      <c r="G4" s="20" t="s">
        <v>35</v>
      </c>
      <c r="H4" s="42" t="s">
        <v>7</v>
      </c>
      <c r="I4" s="20" t="s">
        <v>35</v>
      </c>
    </row>
    <row r="5" spans="1:9" x14ac:dyDescent="0.25">
      <c r="A5" s="28">
        <v>1</v>
      </c>
      <c r="B5" s="43" t="s">
        <v>114</v>
      </c>
      <c r="C5" s="48" t="s">
        <v>99</v>
      </c>
      <c r="D5" s="15"/>
      <c r="E5" s="21" t="str">
        <f t="shared" ref="E5:E12" si="0">IF(D5&gt;0,VLOOKUP(D5,Jumpers,3)&amp;", "&amp;VLOOKUP(D5,Jumpers,2)&amp;" ("&amp;VLOOKUP(D5,Jumpers,7)&amp;")","")</f>
        <v/>
      </c>
      <c r="F5" s="15"/>
      <c r="G5" s="21" t="str">
        <f t="shared" ref="G5:G12" si="1">IF(F5&gt;0,VLOOKUP(F5,Jumpers,3)&amp;", "&amp;VLOOKUP(F5,Jumpers,2)&amp;" ("&amp;VLOOKUP(F5,Jumpers,7)&amp;")","")</f>
        <v/>
      </c>
      <c r="H5" s="15"/>
      <c r="I5" s="21" t="str">
        <f t="shared" ref="I5:I12" si="2">IF(H5&gt;0,VLOOKUP(H5,Jumpers,3)&amp;", "&amp;VLOOKUP(H5,Jumpers,2)&amp;" ("&amp;VLOOKUP(H5,Jumpers,7)&amp;")","")</f>
        <v/>
      </c>
    </row>
    <row r="6" spans="1:9" x14ac:dyDescent="0.25">
      <c r="A6" s="28">
        <v>2</v>
      </c>
      <c r="B6" s="43" t="s">
        <v>114</v>
      </c>
      <c r="C6" s="48" t="s">
        <v>99</v>
      </c>
      <c r="D6" s="15"/>
      <c r="E6" s="21" t="str">
        <f t="shared" si="0"/>
        <v/>
      </c>
      <c r="F6" s="15"/>
      <c r="G6" s="21" t="str">
        <f t="shared" si="1"/>
        <v/>
      </c>
      <c r="H6" s="15"/>
      <c r="I6" s="21" t="str">
        <f t="shared" si="2"/>
        <v/>
      </c>
    </row>
    <row r="7" spans="1:9" x14ac:dyDescent="0.25">
      <c r="A7" s="28">
        <v>3</v>
      </c>
      <c r="B7" s="43" t="s">
        <v>114</v>
      </c>
      <c r="C7" s="48" t="s">
        <v>99</v>
      </c>
      <c r="D7" s="15"/>
      <c r="E7" s="21" t="str">
        <f t="shared" si="0"/>
        <v/>
      </c>
      <c r="F7" s="15"/>
      <c r="G7" s="21" t="str">
        <f t="shared" si="1"/>
        <v/>
      </c>
      <c r="H7" s="15"/>
      <c r="I7" s="21" t="str">
        <f t="shared" si="2"/>
        <v/>
      </c>
    </row>
    <row r="8" spans="1:9" x14ac:dyDescent="0.25">
      <c r="A8" s="28">
        <v>4</v>
      </c>
      <c r="B8" s="43" t="s">
        <v>114</v>
      </c>
      <c r="C8" s="48" t="s">
        <v>99</v>
      </c>
      <c r="D8" s="15"/>
      <c r="E8" s="21" t="str">
        <f t="shared" si="0"/>
        <v/>
      </c>
      <c r="F8" s="15"/>
      <c r="G8" s="21" t="str">
        <f t="shared" si="1"/>
        <v/>
      </c>
      <c r="H8" s="15"/>
      <c r="I8" s="21" t="str">
        <f t="shared" si="2"/>
        <v/>
      </c>
    </row>
    <row r="9" spans="1:9" x14ac:dyDescent="0.25">
      <c r="A9" s="28">
        <v>5</v>
      </c>
      <c r="B9" s="43" t="s">
        <v>114</v>
      </c>
      <c r="C9" s="48" t="s">
        <v>99</v>
      </c>
      <c r="D9" s="15"/>
      <c r="E9" s="21" t="str">
        <f t="shared" si="0"/>
        <v/>
      </c>
      <c r="F9" s="15"/>
      <c r="G9" s="21" t="str">
        <f t="shared" si="1"/>
        <v/>
      </c>
      <c r="H9" s="15"/>
      <c r="I9" s="21" t="str">
        <f t="shared" si="2"/>
        <v/>
      </c>
    </row>
    <row r="10" spans="1:9" x14ac:dyDescent="0.25">
      <c r="A10" s="28">
        <v>6</v>
      </c>
      <c r="B10" s="43" t="s">
        <v>114</v>
      </c>
      <c r="C10" s="48" t="s">
        <v>99</v>
      </c>
      <c r="D10" s="15"/>
      <c r="E10" s="21" t="str">
        <f t="shared" si="0"/>
        <v/>
      </c>
      <c r="F10" s="15"/>
      <c r="G10" s="21" t="str">
        <f t="shared" si="1"/>
        <v/>
      </c>
      <c r="H10" s="15"/>
      <c r="I10" s="21" t="str">
        <f t="shared" si="2"/>
        <v/>
      </c>
    </row>
    <row r="11" spans="1:9" x14ac:dyDescent="0.25">
      <c r="A11" s="28">
        <v>7</v>
      </c>
      <c r="B11" s="43" t="s">
        <v>114</v>
      </c>
      <c r="C11" s="48" t="s">
        <v>99</v>
      </c>
      <c r="D11" s="15"/>
      <c r="E11" s="21" t="str">
        <f t="shared" si="0"/>
        <v/>
      </c>
      <c r="F11" s="15"/>
      <c r="G11" s="21" t="str">
        <f t="shared" si="1"/>
        <v/>
      </c>
      <c r="H11" s="15"/>
      <c r="I11" s="21" t="str">
        <f t="shared" si="2"/>
        <v/>
      </c>
    </row>
    <row r="12" spans="1:9" x14ac:dyDescent="0.25">
      <c r="A12" s="28">
        <v>8</v>
      </c>
      <c r="B12" s="43" t="s">
        <v>114</v>
      </c>
      <c r="C12" s="48" t="s">
        <v>99</v>
      </c>
      <c r="D12" s="15"/>
      <c r="E12" s="21" t="str">
        <f t="shared" si="0"/>
        <v/>
      </c>
      <c r="F12" s="15"/>
      <c r="G12" s="21" t="str">
        <f t="shared" si="1"/>
        <v/>
      </c>
      <c r="H12" s="15"/>
      <c r="I12" s="21" t="str">
        <f t="shared" si="2"/>
        <v/>
      </c>
    </row>
    <row r="13" spans="1:9" x14ac:dyDescent="0.25">
      <c r="A13" s="22" t="s">
        <v>27</v>
      </c>
      <c r="B13" s="46"/>
      <c r="C13" s="46"/>
      <c r="D13" s="22"/>
      <c r="E13" s="22"/>
      <c r="F13" s="22"/>
      <c r="G13" s="22"/>
      <c r="H13" s="22"/>
      <c r="I13" s="22"/>
    </row>
    <row r="14" spans="1:9" ht="23.25" x14ac:dyDescent="0.25">
      <c r="A14" s="20" t="s">
        <v>0</v>
      </c>
      <c r="B14" s="20" t="s">
        <v>30</v>
      </c>
      <c r="C14" s="20" t="s">
        <v>31</v>
      </c>
      <c r="D14" s="42" t="s">
        <v>7</v>
      </c>
      <c r="E14" s="20" t="s">
        <v>35</v>
      </c>
      <c r="F14" s="42" t="s">
        <v>7</v>
      </c>
      <c r="G14" s="20" t="s">
        <v>35</v>
      </c>
      <c r="H14" s="42" t="s">
        <v>7</v>
      </c>
      <c r="I14" s="20" t="s">
        <v>35</v>
      </c>
    </row>
    <row r="15" spans="1:9" x14ac:dyDescent="0.25">
      <c r="A15" s="28">
        <v>1</v>
      </c>
      <c r="B15" s="43" t="s">
        <v>114</v>
      </c>
      <c r="C15" s="43" t="s">
        <v>27</v>
      </c>
      <c r="D15" s="14"/>
      <c r="E15" s="21" t="str">
        <f t="shared" ref="E15:E22" si="3">IF(D15&gt;0,VLOOKUP(D15,Jumpers,3)&amp;", "&amp;VLOOKUP(D15,Jumpers,2)&amp;" ("&amp;VLOOKUP(D15,Jumpers,7)&amp;")","")</f>
        <v/>
      </c>
      <c r="F15" s="14"/>
      <c r="G15" s="21" t="str">
        <f t="shared" ref="G15:G22" si="4">IF(F15&gt;0,VLOOKUP(F15,Jumpers,3)&amp;", "&amp;VLOOKUP(F15,Jumpers,2)&amp;" ("&amp;VLOOKUP(F15,Jumpers,7)&amp;")","")</f>
        <v/>
      </c>
      <c r="H15" s="14"/>
      <c r="I15" s="21" t="str">
        <f t="shared" ref="I15:I22" si="5">IF(H15&gt;0,VLOOKUP(H15,Jumpers,3)&amp;", "&amp;VLOOKUP(H15,Jumpers,2)&amp;" ("&amp;VLOOKUP(H15,Jumpers,7)&amp;")","")</f>
        <v/>
      </c>
    </row>
    <row r="16" spans="1:9" x14ac:dyDescent="0.25">
      <c r="A16" s="28">
        <v>2</v>
      </c>
      <c r="B16" s="43" t="s">
        <v>114</v>
      </c>
      <c r="C16" s="43" t="s">
        <v>27</v>
      </c>
      <c r="D16" s="14"/>
      <c r="E16" s="21" t="str">
        <f t="shared" si="3"/>
        <v/>
      </c>
      <c r="F16" s="14"/>
      <c r="G16" s="21" t="str">
        <f t="shared" si="4"/>
        <v/>
      </c>
      <c r="H16" s="14"/>
      <c r="I16" s="21" t="str">
        <f t="shared" si="5"/>
        <v/>
      </c>
    </row>
    <row r="17" spans="1:9" x14ac:dyDescent="0.25">
      <c r="A17" s="28">
        <v>3</v>
      </c>
      <c r="B17" s="43" t="s">
        <v>114</v>
      </c>
      <c r="C17" s="43" t="s">
        <v>27</v>
      </c>
      <c r="D17" s="14"/>
      <c r="E17" s="21" t="str">
        <f t="shared" si="3"/>
        <v/>
      </c>
      <c r="F17" s="14"/>
      <c r="G17" s="21" t="str">
        <f t="shared" si="4"/>
        <v/>
      </c>
      <c r="H17" s="14"/>
      <c r="I17" s="21" t="str">
        <f t="shared" si="5"/>
        <v/>
      </c>
    </row>
    <row r="18" spans="1:9" x14ac:dyDescent="0.25">
      <c r="A18" s="28">
        <v>4</v>
      </c>
      <c r="B18" s="43" t="s">
        <v>114</v>
      </c>
      <c r="C18" s="43" t="s">
        <v>27</v>
      </c>
      <c r="D18" s="14"/>
      <c r="E18" s="21" t="str">
        <f t="shared" si="3"/>
        <v/>
      </c>
      <c r="F18" s="14"/>
      <c r="G18" s="21" t="str">
        <f t="shared" si="4"/>
        <v/>
      </c>
      <c r="H18" s="14"/>
      <c r="I18" s="21" t="str">
        <f t="shared" si="5"/>
        <v/>
      </c>
    </row>
    <row r="19" spans="1:9" x14ac:dyDescent="0.25">
      <c r="A19" s="28">
        <v>5</v>
      </c>
      <c r="B19" s="43" t="s">
        <v>114</v>
      </c>
      <c r="C19" s="43" t="s">
        <v>27</v>
      </c>
      <c r="D19" s="14"/>
      <c r="E19" s="21" t="str">
        <f t="shared" si="3"/>
        <v/>
      </c>
      <c r="F19" s="14"/>
      <c r="G19" s="21" t="str">
        <f t="shared" si="4"/>
        <v/>
      </c>
      <c r="H19" s="14"/>
      <c r="I19" s="21" t="str">
        <f t="shared" si="5"/>
        <v/>
      </c>
    </row>
    <row r="20" spans="1:9" x14ac:dyDescent="0.25">
      <c r="A20" s="28">
        <v>6</v>
      </c>
      <c r="B20" s="43" t="s">
        <v>114</v>
      </c>
      <c r="C20" s="43" t="s">
        <v>27</v>
      </c>
      <c r="D20" s="14"/>
      <c r="E20" s="21" t="str">
        <f t="shared" si="3"/>
        <v/>
      </c>
      <c r="F20" s="14"/>
      <c r="G20" s="21" t="str">
        <f t="shared" si="4"/>
        <v/>
      </c>
      <c r="H20" s="14"/>
      <c r="I20" s="21" t="str">
        <f t="shared" si="5"/>
        <v/>
      </c>
    </row>
    <row r="21" spans="1:9" x14ac:dyDescent="0.25">
      <c r="A21" s="28">
        <v>7</v>
      </c>
      <c r="B21" s="43" t="s">
        <v>114</v>
      </c>
      <c r="C21" s="43" t="s">
        <v>27</v>
      </c>
      <c r="D21" s="14"/>
      <c r="E21" s="21" t="str">
        <f t="shared" si="3"/>
        <v/>
      </c>
      <c r="F21" s="14"/>
      <c r="G21" s="21" t="str">
        <f t="shared" si="4"/>
        <v/>
      </c>
      <c r="H21" s="14"/>
      <c r="I21" s="21" t="str">
        <f t="shared" si="5"/>
        <v/>
      </c>
    </row>
    <row r="22" spans="1:9" x14ac:dyDescent="0.25">
      <c r="A22" s="28">
        <v>8</v>
      </c>
      <c r="B22" s="43" t="s">
        <v>114</v>
      </c>
      <c r="C22" s="43" t="s">
        <v>27</v>
      </c>
      <c r="D22" s="14"/>
      <c r="E22" s="21" t="str">
        <f t="shared" si="3"/>
        <v/>
      </c>
      <c r="F22" s="14"/>
      <c r="G22" s="21" t="str">
        <f t="shared" si="4"/>
        <v/>
      </c>
      <c r="H22" s="14"/>
      <c r="I22" s="21" t="str">
        <f t="shared" si="5"/>
        <v/>
      </c>
    </row>
    <row r="23" spans="1:9" x14ac:dyDescent="0.25">
      <c r="A23" s="22" t="s">
        <v>28</v>
      </c>
      <c r="B23" s="46"/>
      <c r="C23" s="46"/>
      <c r="D23" s="22"/>
      <c r="E23" s="22"/>
      <c r="F23" s="22"/>
      <c r="G23" s="22"/>
      <c r="H23" s="22"/>
      <c r="I23" s="22"/>
    </row>
    <row r="24" spans="1:9" ht="23.25" x14ac:dyDescent="0.25">
      <c r="A24" s="20" t="s">
        <v>0</v>
      </c>
      <c r="B24" s="20" t="s">
        <v>30</v>
      </c>
      <c r="C24" s="20" t="s">
        <v>31</v>
      </c>
      <c r="D24" s="42" t="s">
        <v>7</v>
      </c>
      <c r="E24" s="20" t="s">
        <v>35</v>
      </c>
      <c r="F24" s="42" t="s">
        <v>7</v>
      </c>
      <c r="G24" s="20" t="s">
        <v>35</v>
      </c>
      <c r="H24" s="42" t="s">
        <v>7</v>
      </c>
      <c r="I24" s="20" t="s">
        <v>35</v>
      </c>
    </row>
    <row r="25" spans="1:9" x14ac:dyDescent="0.25">
      <c r="A25" s="28">
        <v>1</v>
      </c>
      <c r="B25" s="43" t="s">
        <v>114</v>
      </c>
      <c r="C25" s="43" t="s">
        <v>28</v>
      </c>
      <c r="D25" s="14"/>
      <c r="E25" s="21" t="str">
        <f t="shared" ref="E25:E32" si="6">IF(D25&gt;0,VLOOKUP(D25,Jumpers,3)&amp;", "&amp;VLOOKUP(D25,Jumpers,2)&amp;" ("&amp;VLOOKUP(D25,Jumpers,7)&amp;")","")</f>
        <v/>
      </c>
      <c r="F25" s="14"/>
      <c r="G25" s="21" t="str">
        <f t="shared" ref="G25:G32" si="7">IF(F25&gt;0,VLOOKUP(F25,Jumpers,3)&amp;", "&amp;VLOOKUP(F25,Jumpers,2)&amp;" ("&amp;VLOOKUP(F25,Jumpers,7)&amp;")","")</f>
        <v/>
      </c>
      <c r="H25" s="14"/>
      <c r="I25" s="21" t="str">
        <f t="shared" ref="I25:I32" si="8">IF(H25&gt;0,VLOOKUP(H25,Jumpers,3)&amp;", "&amp;VLOOKUP(H25,Jumpers,2)&amp;" ("&amp;VLOOKUP(H25,Jumpers,7)&amp;")","")</f>
        <v/>
      </c>
    </row>
    <row r="26" spans="1:9" x14ac:dyDescent="0.25">
      <c r="A26" s="28">
        <v>2</v>
      </c>
      <c r="B26" s="43" t="s">
        <v>114</v>
      </c>
      <c r="C26" s="43" t="s">
        <v>28</v>
      </c>
      <c r="D26" s="14"/>
      <c r="E26" s="21" t="str">
        <f t="shared" si="6"/>
        <v/>
      </c>
      <c r="F26" s="14"/>
      <c r="G26" s="21" t="str">
        <f t="shared" si="7"/>
        <v/>
      </c>
      <c r="H26" s="14"/>
      <c r="I26" s="21" t="str">
        <f t="shared" si="8"/>
        <v/>
      </c>
    </row>
    <row r="27" spans="1:9" x14ac:dyDescent="0.25">
      <c r="A27" s="28">
        <v>3</v>
      </c>
      <c r="B27" s="43" t="s">
        <v>114</v>
      </c>
      <c r="C27" s="43" t="s">
        <v>28</v>
      </c>
      <c r="D27" s="14"/>
      <c r="E27" s="21" t="str">
        <f t="shared" si="6"/>
        <v/>
      </c>
      <c r="F27" s="14"/>
      <c r="G27" s="21" t="str">
        <f t="shared" si="7"/>
        <v/>
      </c>
      <c r="H27" s="14"/>
      <c r="I27" s="21" t="str">
        <f t="shared" si="8"/>
        <v/>
      </c>
    </row>
    <row r="28" spans="1:9" x14ac:dyDescent="0.25">
      <c r="A28" s="28">
        <v>4</v>
      </c>
      <c r="B28" s="43" t="s">
        <v>114</v>
      </c>
      <c r="C28" s="43" t="s">
        <v>28</v>
      </c>
      <c r="D28" s="14"/>
      <c r="E28" s="21" t="str">
        <f t="shared" si="6"/>
        <v/>
      </c>
      <c r="F28" s="14"/>
      <c r="G28" s="21" t="str">
        <f t="shared" si="7"/>
        <v/>
      </c>
      <c r="H28" s="14"/>
      <c r="I28" s="21" t="str">
        <f t="shared" si="8"/>
        <v/>
      </c>
    </row>
    <row r="29" spans="1:9" x14ac:dyDescent="0.25">
      <c r="A29" s="28">
        <v>5</v>
      </c>
      <c r="B29" s="43" t="s">
        <v>114</v>
      </c>
      <c r="C29" s="43" t="s">
        <v>28</v>
      </c>
      <c r="D29" s="14"/>
      <c r="E29" s="21" t="str">
        <f t="shared" si="6"/>
        <v/>
      </c>
      <c r="F29" s="14"/>
      <c r="G29" s="21"/>
      <c r="H29" s="14"/>
      <c r="I29" s="21" t="str">
        <f t="shared" si="8"/>
        <v/>
      </c>
    </row>
    <row r="30" spans="1:9" x14ac:dyDescent="0.25">
      <c r="A30" s="28">
        <v>6</v>
      </c>
      <c r="B30" s="43" t="s">
        <v>114</v>
      </c>
      <c r="C30" s="43" t="s">
        <v>28</v>
      </c>
      <c r="D30" s="14"/>
      <c r="E30" s="21" t="str">
        <f t="shared" si="6"/>
        <v/>
      </c>
      <c r="F30" s="14"/>
      <c r="G30" s="21" t="str">
        <f t="shared" si="7"/>
        <v/>
      </c>
      <c r="H30" s="14"/>
      <c r="I30" s="21" t="str">
        <f t="shared" si="8"/>
        <v/>
      </c>
    </row>
    <row r="31" spans="1:9" x14ac:dyDescent="0.25">
      <c r="A31" s="28">
        <v>7</v>
      </c>
      <c r="B31" s="43" t="s">
        <v>114</v>
      </c>
      <c r="C31" s="43" t="s">
        <v>28</v>
      </c>
      <c r="D31" s="14"/>
      <c r="E31" s="21" t="str">
        <f t="shared" si="6"/>
        <v/>
      </c>
      <c r="F31" s="14"/>
      <c r="G31" s="21" t="str">
        <f t="shared" si="7"/>
        <v/>
      </c>
      <c r="H31" s="14"/>
      <c r="I31" s="21" t="str">
        <f t="shared" si="8"/>
        <v/>
      </c>
    </row>
    <row r="32" spans="1:9" x14ac:dyDescent="0.25">
      <c r="A32" s="28">
        <v>8</v>
      </c>
      <c r="B32" s="43" t="s">
        <v>114</v>
      </c>
      <c r="C32" s="43" t="s">
        <v>28</v>
      </c>
      <c r="D32" s="14"/>
      <c r="E32" s="21" t="str">
        <f t="shared" si="6"/>
        <v/>
      </c>
      <c r="F32" s="14"/>
      <c r="G32" s="21" t="str">
        <f t="shared" si="7"/>
        <v/>
      </c>
      <c r="H32" s="14"/>
      <c r="I32" s="21" t="str">
        <f t="shared" si="8"/>
        <v/>
      </c>
    </row>
    <row r="33" spans="1:9" x14ac:dyDescent="0.25">
      <c r="A33" s="22" t="s">
        <v>29</v>
      </c>
      <c r="B33" s="46"/>
      <c r="C33" s="46"/>
      <c r="D33" s="22"/>
      <c r="E33" s="22"/>
      <c r="F33" s="22"/>
      <c r="G33" s="22"/>
      <c r="H33" s="22"/>
      <c r="I33" s="22"/>
    </row>
    <row r="34" spans="1:9" ht="23.25" x14ac:dyDescent="0.25">
      <c r="A34" s="20" t="s">
        <v>0</v>
      </c>
      <c r="B34" s="20" t="s">
        <v>30</v>
      </c>
      <c r="C34" s="20" t="s">
        <v>31</v>
      </c>
      <c r="D34" s="42" t="s">
        <v>7</v>
      </c>
      <c r="E34" s="20" t="s">
        <v>35</v>
      </c>
      <c r="F34" s="42" t="s">
        <v>7</v>
      </c>
      <c r="G34" s="20" t="s">
        <v>35</v>
      </c>
      <c r="H34" s="42" t="s">
        <v>7</v>
      </c>
      <c r="I34" s="20" t="s">
        <v>35</v>
      </c>
    </row>
    <row r="35" spans="1:9" x14ac:dyDescent="0.25">
      <c r="A35" s="28">
        <v>1</v>
      </c>
      <c r="B35" s="43" t="s">
        <v>114</v>
      </c>
      <c r="C35" s="43" t="s">
        <v>29</v>
      </c>
      <c r="D35" s="14"/>
      <c r="E35" s="21" t="str">
        <f t="shared" ref="E35:E42" si="9">IF(D35&gt;0,VLOOKUP(D35,Jumpers,3)&amp;", "&amp;VLOOKUP(D35,Jumpers,2)&amp;" ("&amp;VLOOKUP(D35,Jumpers,7)&amp;")","")</f>
        <v/>
      </c>
      <c r="F35" s="14"/>
      <c r="G35" s="21" t="str">
        <f t="shared" ref="G35:G42" si="10">IF(F35&gt;0,VLOOKUP(F35,Jumpers,3)&amp;", "&amp;VLOOKUP(F35,Jumpers,2)&amp;" ("&amp;VLOOKUP(F35,Jumpers,7)&amp;")","")</f>
        <v/>
      </c>
      <c r="H35" s="14"/>
      <c r="I35" s="21" t="str">
        <f t="shared" ref="I35:I42" si="11">IF(H35&gt;0,VLOOKUP(H35,Jumpers,3)&amp;", "&amp;VLOOKUP(H35,Jumpers,2)&amp;" ("&amp;VLOOKUP(H35,Jumpers,7)&amp;")","")</f>
        <v/>
      </c>
    </row>
    <row r="36" spans="1:9" x14ac:dyDescent="0.25">
      <c r="A36" s="28">
        <v>2</v>
      </c>
      <c r="B36" s="43" t="s">
        <v>114</v>
      </c>
      <c r="C36" s="43" t="s">
        <v>29</v>
      </c>
      <c r="D36" s="14"/>
      <c r="E36" s="21" t="str">
        <f t="shared" si="9"/>
        <v/>
      </c>
      <c r="F36" s="14"/>
      <c r="G36" s="21" t="str">
        <f t="shared" si="10"/>
        <v/>
      </c>
      <c r="H36" s="14"/>
      <c r="I36" s="21" t="str">
        <f t="shared" si="11"/>
        <v/>
      </c>
    </row>
    <row r="37" spans="1:9" x14ac:dyDescent="0.25">
      <c r="A37" s="28">
        <v>3</v>
      </c>
      <c r="B37" s="43" t="s">
        <v>114</v>
      </c>
      <c r="C37" s="43" t="s">
        <v>29</v>
      </c>
      <c r="D37" s="14"/>
      <c r="E37" s="21" t="str">
        <f t="shared" si="9"/>
        <v/>
      </c>
      <c r="F37" s="14"/>
      <c r="G37" s="21" t="str">
        <f t="shared" si="10"/>
        <v/>
      </c>
      <c r="H37" s="14"/>
      <c r="I37" s="21" t="str">
        <f t="shared" si="11"/>
        <v/>
      </c>
    </row>
    <row r="38" spans="1:9" x14ac:dyDescent="0.25">
      <c r="A38" s="28">
        <v>4</v>
      </c>
      <c r="B38" s="43" t="s">
        <v>114</v>
      </c>
      <c r="C38" s="43" t="s">
        <v>29</v>
      </c>
      <c r="D38" s="14"/>
      <c r="E38" s="21" t="str">
        <f t="shared" si="9"/>
        <v/>
      </c>
      <c r="F38" s="14"/>
      <c r="G38" s="21" t="str">
        <f t="shared" si="10"/>
        <v/>
      </c>
      <c r="H38" s="14"/>
      <c r="I38" s="21" t="str">
        <f t="shared" si="11"/>
        <v/>
      </c>
    </row>
    <row r="39" spans="1:9" x14ac:dyDescent="0.25">
      <c r="A39" s="28">
        <v>5</v>
      </c>
      <c r="B39" s="43" t="s">
        <v>114</v>
      </c>
      <c r="C39" s="43" t="s">
        <v>29</v>
      </c>
      <c r="D39" s="14"/>
      <c r="E39" s="21" t="str">
        <f t="shared" si="9"/>
        <v/>
      </c>
      <c r="F39" s="14"/>
      <c r="G39" s="21" t="str">
        <f t="shared" si="10"/>
        <v/>
      </c>
      <c r="H39" s="14"/>
      <c r="I39" s="21" t="str">
        <f t="shared" si="11"/>
        <v/>
      </c>
    </row>
    <row r="40" spans="1:9" x14ac:dyDescent="0.25">
      <c r="A40" s="28">
        <v>6</v>
      </c>
      <c r="B40" s="43" t="s">
        <v>114</v>
      </c>
      <c r="C40" s="43" t="s">
        <v>29</v>
      </c>
      <c r="D40" s="14"/>
      <c r="E40" s="21" t="str">
        <f t="shared" si="9"/>
        <v/>
      </c>
      <c r="F40" s="14"/>
      <c r="G40" s="21" t="str">
        <f t="shared" si="10"/>
        <v/>
      </c>
      <c r="H40" s="14"/>
      <c r="I40" s="21" t="str">
        <f t="shared" si="11"/>
        <v/>
      </c>
    </row>
    <row r="41" spans="1:9" x14ac:dyDescent="0.25">
      <c r="A41" s="28">
        <v>7</v>
      </c>
      <c r="B41" s="43" t="s">
        <v>114</v>
      </c>
      <c r="C41" s="43" t="s">
        <v>29</v>
      </c>
      <c r="D41" s="14"/>
      <c r="E41" s="21" t="str">
        <f t="shared" si="9"/>
        <v/>
      </c>
      <c r="F41" s="14"/>
      <c r="G41" s="21" t="str">
        <f t="shared" si="10"/>
        <v/>
      </c>
      <c r="H41" s="14"/>
      <c r="I41" s="21" t="str">
        <f t="shared" si="11"/>
        <v/>
      </c>
    </row>
    <row r="42" spans="1:9" x14ac:dyDescent="0.25">
      <c r="A42" s="28">
        <v>8</v>
      </c>
      <c r="B42" s="43" t="s">
        <v>114</v>
      </c>
      <c r="C42" s="43" t="s">
        <v>29</v>
      </c>
      <c r="D42" s="14"/>
      <c r="E42" s="21" t="str">
        <f t="shared" si="9"/>
        <v/>
      </c>
      <c r="F42" s="14"/>
      <c r="G42" s="21" t="str">
        <f t="shared" si="10"/>
        <v/>
      </c>
      <c r="H42" s="14"/>
      <c r="I42" s="21" t="str">
        <f t="shared" si="11"/>
        <v/>
      </c>
    </row>
  </sheetData>
  <sheetProtection password="CE88" sheet="1" objects="1" scenarios="1" selectLockedCells="1"/>
  <mergeCells count="1">
    <mergeCell ref="A2:I2"/>
  </mergeCells>
  <conditionalFormatting sqref="D5:D12 F5:F12 H5:H12 D15:D22 F15:F22 H15:H22 D25:D32 F25:F32 H25:H32 D35:D42 F35:H42">
    <cfRule type="expression" dxfId="20" priority="7" stopIfTrue="1">
      <formula>AND(D5&lt;&gt;"",COUNTIF($D$5:$D$102,D5) +COUNTIF($F$5:$F$102,D5)+COUNTIF($H$5:$H$102,D5)&gt;1)</formula>
    </cfRule>
  </conditionalFormatting>
  <conditionalFormatting sqref="D5:D12 F5:F12 H5:H12">
    <cfRule type="expression" dxfId="19" priority="15" stopIfTrue="1">
      <formula>VLOOKUP(D5,Jumpers,7)&gt;12</formula>
    </cfRule>
  </conditionalFormatting>
  <conditionalFormatting sqref="D15:D22 F15:F22 H15:H22">
    <cfRule type="expression" dxfId="18" priority="8" stopIfTrue="1">
      <formula>VLOOKUP(D15,Jumpers,7)&gt;14</formula>
    </cfRule>
    <cfRule type="expression" dxfId="17" priority="14" stopIfTrue="1">
      <formula>AND($D15&lt;&gt;"",$F15&lt;&gt;"",$H15&lt;&gt;"",AND(OR(VLOOKUP($D15,Jumpers,7)&gt;14,VLOOKUP($D15,Jumpers,7)&lt;13),OR(VLOOKUP($F15,Jumpers,7)&gt;14,VLOOKUP($F15,Jumpers,7)&lt;13),OR(VLOOKUP($H15,Jumpers,7)&gt;14,VLOOKUP($H15,Jumpers,7)&lt;13)))</formula>
    </cfRule>
  </conditionalFormatting>
  <conditionalFormatting sqref="D25:D32 F25:F32 H25:H32 D35:D42 F35:F42 D5:D12 F5:F12 H5:H12 D15:D22 F15:F22 H15:H22">
    <cfRule type="expression" dxfId="16" priority="5" stopIfTrue="1">
      <formula>OR(CODE(D5)&lt;48,CODE(D5)&gt;57)</formula>
    </cfRule>
  </conditionalFormatting>
  <conditionalFormatting sqref="D25:D32 F25:F32 H25:H32">
    <cfRule type="expression" dxfId="15" priority="4">
      <formula>AND($D25&lt;&gt;"",$F25&lt;&gt;"",$H25&lt;&gt;"",AND(OR(VLOOKUP($D25,Jumpers,7)&gt;17,VLOOKUP($D25,Jumpers,7)&lt;15),OR(VLOOKUP($F25,Jumpers,7)&gt;17,VLOOKUP($F25,Jumpers,7)&lt;15),OR(VLOOKUP($H25,Jumpers,7)&gt;17,VLOOKUP($H25,Jumpers,7)&lt;15)))</formula>
    </cfRule>
    <cfRule type="expression" dxfId="14" priority="13" stopIfTrue="1">
      <formula>VLOOKUP(D25,Jumpers,7)&gt;17</formula>
    </cfRule>
  </conditionalFormatting>
  <conditionalFormatting sqref="H35:H42 D35:D42 F35:F42">
    <cfRule type="expression" dxfId="13" priority="3" stopIfTrue="1">
      <formula>AND($D35&lt;&gt;"",$F35&lt;&gt;"",$H35&lt;&gt;"",AND(OR(VLOOKUP($D35,Jumpers,7)&gt;22,VLOOKUP($D35,Jumpers,7)&lt;18),OR(VLOOKUP($F35,Jumpers,7)&gt;22,VLOOKUP($F35,Jumpers,7)&lt;18),OR(VLOOKUP($H35,Jumpers,7)&gt;22,VLOOKUP($H35,Jumpers,7)&lt;18)))</formula>
    </cfRule>
  </conditionalFormatting>
  <conditionalFormatting sqref="H38:H39">
    <cfRule type="expression" dxfId="12" priority="1" stopIfTrue="1">
      <formula>OR(CODE(H38)&lt;48,CODE(H38)&gt;57)</formula>
    </cfRule>
  </conditionalFormatting>
  <pageMargins left="0.25" right="0.25" top="0.75" bottom="0.75" header="0.3" footer="0.3"/>
  <pageSetup scale="75" orientation="portrait" r:id="rId1"/>
  <headerFooter>
    <oddHeader>&amp;LAAU Regional Tournament&amp;R&amp;A</oddHeader>
    <oddFooter>&amp;RPage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Team Info</vt:lpstr>
      <vt:lpstr>Judges</vt:lpstr>
      <vt:lpstr>Competitor</vt:lpstr>
      <vt:lpstr>Group Team Show</vt:lpstr>
      <vt:lpstr>Male Individual Rope Singles</vt:lpstr>
      <vt:lpstr>Female Individual Rope Singles</vt:lpstr>
      <vt:lpstr>Individual Triple Unders</vt:lpstr>
      <vt:lpstr>Individual Rope Pairs</vt:lpstr>
      <vt:lpstr>3 Person Double Dutch</vt:lpstr>
      <vt:lpstr>4 Person Double Dutch</vt:lpstr>
      <vt:lpstr>4 Person Single Rope Event</vt:lpstr>
      <vt:lpstr>Lists</vt:lpstr>
      <vt:lpstr>analysis</vt:lpstr>
      <vt:lpstr>ConsolidatedEventList</vt:lpstr>
      <vt:lpstr>AgeGroupFemale</vt:lpstr>
      <vt:lpstr>AgeGroupMale</vt:lpstr>
      <vt:lpstr>AgeInfo</vt:lpstr>
      <vt:lpstr>Jumpers</vt:lpstr>
      <vt:lpstr>analysis!Print_Area</vt:lpstr>
      <vt:lpstr>Competitor!Print_Area</vt:lpstr>
      <vt:lpstr>'Team Info'!Print_Area</vt:lpstr>
      <vt:lpstr>Competitor!Print_Titles</vt:lpstr>
      <vt:lpstr>'Female Individual Rope Singles'!Print_Titles</vt:lpstr>
      <vt:lpstr>'Individual Triple Unders'!Print_Titles</vt:lpstr>
      <vt:lpstr>'Male Individual Rope Singles'!Print_Titles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dc:creator>
  <cp:lastModifiedBy>Crystal Mannino</cp:lastModifiedBy>
  <cp:lastPrinted>2016-01-07T10:45:27Z</cp:lastPrinted>
  <dcterms:created xsi:type="dcterms:W3CDTF">2011-01-19T19:31:18Z</dcterms:created>
  <dcterms:modified xsi:type="dcterms:W3CDTF">2025-05-16T13:38:28Z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DocumentId">
    <vt:lpwstr>10__RU0qQAIQNys7gWNKTSUZLqQqhRwlEWaK7BKRhd0I</vt:lpwstr>
  </property>
  <property fmtid="{D5CDD505-2E9C-101B-9397-08002B2CF9AE}" pid="3" name="Google.Documents.RevisionId">
    <vt:lpwstr>18334860576171358934</vt:lpwstr>
  </property>
  <property fmtid="{D5CDD505-2E9C-101B-9397-08002B2CF9AE}" pid="4" name="Google.Documents.PreviousRevisionId">
    <vt:lpwstr>11468955002960610937</vt:lpwstr>
  </property>
  <property fmtid="{D5CDD505-2E9C-101B-9397-08002B2CF9AE}" pid="5" name="Google.Documents.PluginVersion">
    <vt:lpwstr>2.0.1974.7364</vt:lpwstr>
  </property>
  <property fmtid="{D5CDD505-2E9C-101B-9397-08002B2CF9AE}" pid="6" name="Google.Documents.MergeIncapabilityFlags">
    <vt:i4>0</vt:i4>
  </property>
  <property fmtid="{D5CDD505-2E9C-101B-9397-08002B2CF9AE}" pid="7" name="Google.Documents.Tracking">
    <vt:lpwstr>false</vt:lpwstr>
  </property>
</Properties>
</file>